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sumptions" sheetId="1" state="visible" r:id="rId3"/>
    <sheet name="Summary" sheetId="2" state="visible" r:id="rId4"/>
    <sheet name="Portfolio" sheetId="3" state="visible" r:id="rId5"/>
    <sheet name="Fees" sheetId="4" state="visible" r:id="rId6"/>
    <sheet name="Capital Calls" sheetId="5" state="visible" r:id="rId7"/>
    <sheet name="Waterfall (European)" sheetId="6" state="visible" r:id="rId8"/>
    <sheet name="Waterfall (American)" sheetId="7" state="visible" r:id="rId9"/>
    <sheet name="Metrics" sheetId="8" state="visible" r:id="rId10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<sst xmlns="http://schemas.openxmlformats.org/spreadsheetml/2006/main" count="133" uniqueCount="127">
  <si>
    <t xml:space="preserve">FUND OPERATIONS MODEL — ASSUMPTIONS</t>
  </si>
  <si>
    <t xml:space="preserve">All monetary figures in ₹ Cr. Blue cells = inputs. Change here; everything recalculates.</t>
  </si>
  <si>
    <t xml:space="preserve">Fund size (committed capital, ₹ Cr)</t>
  </si>
  <si>
    <t xml:space="preserve">GP commitment (% of fund)</t>
  </si>
  <si>
    <t xml:space="preserve">Vintage year</t>
  </si>
  <si>
    <t xml:space="preserve">Fund term (years)</t>
  </si>
  <si>
    <t xml:space="preserve">Investment period (years)</t>
  </si>
  <si>
    <t xml:space="preserve">Mgmt fee — investment period (% of committed)</t>
  </si>
  <si>
    <t xml:space="preserve">Mgmt fee — post-IP (% of net invested cost)</t>
  </si>
  <si>
    <t xml:space="preserve">Preferred return / hurdle (p.a., compounding)</t>
  </si>
  <si>
    <t xml:space="preserve">GP catch-up (% of tier-3 cash to GP)</t>
  </si>
  <si>
    <t xml:space="preserve">Carried interest</t>
  </si>
  <si>
    <t xml:space="preserve">Waterfall types modelled: European (whole-fund) and American (deal-by-deal) — see respective tabs.</t>
  </si>
  <si>
    <t xml:space="preserve">FUND SUMMARY DASHBOARD</t>
  </si>
  <si>
    <t xml:space="preserve">All values link live from the model tabs. ₹ Cr unless stated.</t>
  </si>
  <si>
    <t xml:space="preserve">Fund size (committed)</t>
  </si>
  <si>
    <t xml:space="preserve">Total capital called</t>
  </si>
  <si>
    <t xml:space="preserve">Total invested (8 deals)</t>
  </si>
  <si>
    <t xml:space="preserve">Total management fees (life-to-date)</t>
  </si>
  <si>
    <t xml:space="preserve">Gross realized proceeds</t>
  </si>
  <si>
    <t xml:space="preserve">Total LP distributions (European)</t>
  </si>
  <si>
    <t xml:space="preserve">Total GP carry (European)</t>
  </si>
  <si>
    <t xml:space="preserve">Total GP carry (American, deal-by-deal)</t>
  </si>
  <si>
    <t xml:space="preserve">Indicative clawback (American vs European)</t>
  </si>
  <si>
    <t xml:space="preserve">Terminal NAV (unrealized)</t>
  </si>
  <si>
    <t xml:space="preserve">DPI (final)</t>
  </si>
  <si>
    <t xml:space="preserve">RVPI (final)</t>
  </si>
  <si>
    <t xml:space="preserve">TVPI (final)</t>
  </si>
  <si>
    <t xml:space="preserve">Net LP IRR</t>
  </si>
  <si>
    <t xml:space="preserve">Model conventions: blue = inputs, black = formulas, green = cross-sheet links. See Notes column headers on each tab.</t>
  </si>
  <si>
    <t xml:space="preserve">PORTFOLIO — INVESTMENTS &amp; REALIZATIONS</t>
  </si>
  <si>
    <t xml:space="preserve">Blue = deal inputs. Unexited deals: Exit Year = 9999. Carrying multiple marks unrealized NAV.</t>
  </si>
  <si>
    <t xml:space="preserve">Deal</t>
  </si>
  <si>
    <t xml:space="preserve">Sector</t>
  </si>
  <si>
    <t xml:space="preserve">Invest Year</t>
  </si>
  <si>
    <t xml:space="preserve">Invested (₹ Cr)</t>
  </si>
  <si>
    <t xml:space="preserve">Carrying Mult (x)</t>
  </si>
  <si>
    <t xml:space="preserve">Exit Year</t>
  </si>
  <si>
    <t xml:space="preserve">Gross Exit MOIC (x)</t>
  </si>
  <si>
    <t xml:space="preserve">Exit Proceeds (₹ Cr)</t>
  </si>
  <si>
    <t xml:space="preserve">Deal A</t>
  </si>
  <si>
    <t xml:space="preserve">Fintech</t>
  </si>
  <si>
    <t xml:space="preserve">Deal B</t>
  </si>
  <si>
    <t xml:space="preserve">SaaS</t>
  </si>
  <si>
    <t xml:space="preserve">Deal C</t>
  </si>
  <si>
    <t xml:space="preserve">Healthcare</t>
  </si>
  <si>
    <t xml:space="preserve">Deal D</t>
  </si>
  <si>
    <t xml:space="preserve">Consumer</t>
  </si>
  <si>
    <t xml:space="preserve">Deal E</t>
  </si>
  <si>
    <t xml:space="preserve">Cleantech</t>
  </si>
  <si>
    <t xml:space="preserve">Deal F</t>
  </si>
  <si>
    <t xml:space="preserve">Logistics</t>
  </si>
  <si>
    <t xml:space="preserve">Deal G</t>
  </si>
  <si>
    <t xml:space="preserve">Deeptech</t>
  </si>
  <si>
    <t xml:space="preserve">Deal H</t>
  </si>
  <si>
    <t xml:space="preserve">AI/B2C</t>
  </si>
  <si>
    <t xml:space="preserve">Total</t>
  </si>
  <si>
    <t xml:space="preserve">MANAGEMENT FEES — STEP-DOWN SCHEDULE</t>
  </si>
  <si>
    <t xml:space="preserve">IP years: fee on committed capital. Post-IP: fee steps down to net invested cost basis.</t>
  </si>
  <si>
    <t xml:space="preserve">Year</t>
  </si>
  <si>
    <t xml:space="preserve">Cumulative invested cost</t>
  </si>
  <si>
    <t xml:space="preserve">Cost of deals exited to date</t>
  </si>
  <si>
    <t xml:space="preserve">Net invested cost (basis post-IP)</t>
  </si>
  <si>
    <t xml:space="preserve">Within investment period?</t>
  </si>
  <si>
    <t xml:space="preserve">Fee basis</t>
  </si>
  <si>
    <t xml:space="preserve">Fee rate</t>
  </si>
  <si>
    <t xml:space="preserve">Management fee (₹ Cr)</t>
  </si>
  <si>
    <t xml:space="preserve">CAPITAL CALL SCHEDULE</t>
  </si>
  <si>
    <t xml:space="preserve">Calls fund investments + management fees in the year incurred. Just-in-time drawdown assumption.</t>
  </si>
  <si>
    <t xml:space="preserve">Investments drawn</t>
  </si>
  <si>
    <t xml:space="preserve">Management fees drawn</t>
  </si>
  <si>
    <t xml:space="preserve">Cumulative called</t>
  </si>
  <si>
    <t xml:space="preserve">Unfunded commitment</t>
  </si>
  <si>
    <t xml:space="preserve">Called as % of fund</t>
  </si>
  <si>
    <t xml:space="preserve">DISTRIBUTION WATERFALL — EUROPEAN (WHOLE-FUND)</t>
  </si>
  <si>
    <t xml:space="preserve">Order: 1) Return of ALL contributed capital  2) Preferred return (compounding)  3) GP catch-up  4) Carry split. Proceeds distributed in year of exit.</t>
  </si>
  <si>
    <t xml:space="preserve">Distributable proceeds (exits)</t>
  </si>
  <si>
    <t xml:space="preserve">Cumulative contributions</t>
  </si>
  <si>
    <t xml:space="preserve">Tier 1 — Return of capital</t>
  </si>
  <si>
    <t xml:space="preserve">Cumulative ROC paid</t>
  </si>
  <si>
    <t xml:space="preserve">Cash after Tier 1</t>
  </si>
  <si>
    <t xml:space="preserve">Unreturned capital (BOY)</t>
  </si>
  <si>
    <t xml:space="preserve">Unpaid preferred (BOY)</t>
  </si>
  <si>
    <t xml:space="preserve">Preferred accrued this year</t>
  </si>
  <si>
    <t xml:space="preserve">Tier 2 — Preferred return paid</t>
  </si>
  <si>
    <t xml:space="preserve">Unpaid preferred (EOY)</t>
  </si>
  <si>
    <t xml:space="preserve">Cumulative preferred paid</t>
  </si>
  <si>
    <t xml:space="preserve">Cash after Tier 2</t>
  </si>
  <si>
    <t xml:space="preserve">Catch-up target (cumulative)</t>
  </si>
  <si>
    <t xml:space="preserve">Tier 3 — GP catch-up paid</t>
  </si>
  <si>
    <t xml:space="preserve">Cumulative catch-up paid</t>
  </si>
  <si>
    <t xml:space="preserve">Cash after Tier 3</t>
  </si>
  <si>
    <t xml:space="preserve">Tier 4 — LP share (1 − carry)</t>
  </si>
  <si>
    <t xml:space="preserve">Tier 4 — GP carry</t>
  </si>
  <si>
    <t xml:space="preserve">TOTAL LP DISTRIBUTION</t>
  </si>
  <si>
    <t xml:space="preserve">TOTAL GP DISTRIBUTION (carry)</t>
  </si>
  <si>
    <t xml:space="preserve">Check (=proceeds)</t>
  </si>
  <si>
    <t xml:space="preserve">DISTRIBUTION WATERFALL — AMERICAN (DEAL-BY-DEAL)</t>
  </si>
  <si>
    <t xml:space="preserve">Per exited deal: return that deal's capital, pay pref on it, GP catch-up, then carry split. Clawback test vs whole-fund entitlement below.</t>
  </si>
  <si>
    <t xml:space="preserve">Invested</t>
  </si>
  <si>
    <t xml:space="preserve">Invest Yr</t>
  </si>
  <si>
    <t xml:space="preserve">Exit Yr</t>
  </si>
  <si>
    <t xml:space="preserve">Proceeds</t>
  </si>
  <si>
    <t xml:space="preserve">Yrs Held</t>
  </si>
  <si>
    <t xml:space="preserve">Pref Accrued</t>
  </si>
  <si>
    <t xml:space="preserve">T1: ROC</t>
  </si>
  <si>
    <t xml:space="preserve">T2: Pref Paid</t>
  </si>
  <si>
    <t xml:space="preserve">T3: Catch-up</t>
  </si>
  <si>
    <t xml:space="preserve">T4: Residual</t>
  </si>
  <si>
    <t xml:space="preserve">LP (T4)</t>
  </si>
  <si>
    <t xml:space="preserve">GP Carry Total</t>
  </si>
  <si>
    <t xml:space="preserve">LP Total</t>
  </si>
  <si>
    <t xml:space="preserve">CLAWBACK TEST (at current realizations)</t>
  </si>
  <si>
    <t xml:space="preserve">GP carry — deal-by-deal (American)</t>
  </si>
  <si>
    <t xml:space="preserve">GP carry — whole-fund basis (European)</t>
  </si>
  <si>
    <t xml:space="preserve">Indicative clawback owed by GP</t>
  </si>
  <si>
    <t xml:space="preserve">PERFORMANCE METRICS — DPI / RVPI / TVPI / NET IRR</t>
  </si>
  <si>
    <t xml:space="preserve">LP perspective, net of fees (fees inside capital calls) and carry (European waterfall). NAV = cost × carrying multiple for unexited deals.</t>
  </si>
  <si>
    <t xml:space="preserve">Paid-in capital (cumulative)</t>
  </si>
  <si>
    <t xml:space="preserve">LP distributions (year)</t>
  </si>
  <si>
    <t xml:space="preserve">LP distributions (cumulative)</t>
  </si>
  <si>
    <t xml:space="preserve">NAV (unrealized, marked)</t>
  </si>
  <si>
    <t xml:space="preserve">DPI</t>
  </si>
  <si>
    <t xml:space="preserve">RVPI</t>
  </si>
  <si>
    <t xml:space="preserve">TVPI</t>
  </si>
  <si>
    <t xml:space="preserve">Net LP cash flow (year)</t>
  </si>
  <si>
    <t xml:space="preserve">Net LP IRR (fund life, terminal NAV incl.)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</si>
</sst>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;\(#,##0.0\);\-"/>
    <numFmt numFmtId="166" formatCode="0.0%;\(0.0%\);\-"/>
    <numFmt numFmtId="167" formatCode="0"/>
    <numFmt numFmtId="168" formatCode="0.00\x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FFFFFF"/>
      <name val="Arial"/>
      <family val="0"/>
      <charset val="1"/>
    </font>
    <font>
      <i val="true"/>
      <sz val="9"/>
      <color rgb="FF595959"/>
      <name val="Arial"/>
      <family val="0"/>
      <charset val="1"/>
    </font>
    <font>
      <sz val="1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0"/>
      <name val="Arial"/>
      <family val="0"/>
      <charset val="1"/>
    </font>
    <font>
      <sz val="10"/>
      <color rgb="FF008000"/>
      <name val="Arial"/>
      <family val="0"/>
      <charset val="1"/>
    </font>
    <font>
      <sz val="10"/>
      <color rgb="FF00000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FFFF00"/>
        <bgColor rgb="FFFFFF00"/>
      </patternFill>
    </fill>
    <fill>
      <patternFill patternType="solid">
        <fgColor rgb="FFD9E2F3"/>
        <bgColor rgb="FFCC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BFBFBF"/>
      </bottom>
      <diagonal/>
    </border>
    <border diagonalUp="false" diagonalDown="false">
      <left/>
      <right/>
      <top style="double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2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6"/>
    <col collapsed="false" customWidth="true" hidden="false" outlineLevel="0" max="13" min="2" style="0" width="14"/>
  </cols>
  <sheetData>
    <row r="1" customFormat="false" ht="16.15" hidden="false" customHeight="fals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Format="false" ht="15" hidden="false" customHeight="false" outlineLevel="0" collapsed="false">
      <c r="A2" s="3" t="s">
        <v>1</v>
      </c>
    </row>
    <row r="4" customFormat="false" ht="15" hidden="false" customHeight="false" outlineLevel="0" collapsed="false">
      <c r="A4" s="4" t="s">
        <v>2</v>
      </c>
      <c r="B4" s="5" t="n">
        <v>1000</v>
      </c>
    </row>
    <row r="5" customFormat="false" ht="15" hidden="false" customHeight="false" outlineLevel="0" collapsed="false">
      <c r="A5" s="4" t="s">
        <v>3</v>
      </c>
      <c r="B5" s="6" t="n">
        <v>0.02</v>
      </c>
    </row>
    <row r="6" customFormat="false" ht="15" hidden="false" customHeight="false" outlineLevel="0" collapsed="false">
      <c r="A6" s="4" t="s">
        <v>4</v>
      </c>
      <c r="B6" s="7" t="n">
        <v>2026</v>
      </c>
    </row>
    <row r="7" customFormat="false" ht="15" hidden="false" customHeight="false" outlineLevel="0" collapsed="false">
      <c r="A7" s="4" t="s">
        <v>5</v>
      </c>
      <c r="B7" s="7" t="n">
        <v>12</v>
      </c>
    </row>
    <row r="8" customFormat="false" ht="15" hidden="false" customHeight="false" outlineLevel="0" collapsed="false">
      <c r="A8" s="4" t="s">
        <v>6</v>
      </c>
      <c r="B8" s="7" t="n">
        <v>5</v>
      </c>
    </row>
    <row r="9" customFormat="false" ht="15" hidden="false" customHeight="false" outlineLevel="0" collapsed="false">
      <c r="A9" s="4" t="s">
        <v>7</v>
      </c>
      <c r="B9" s="6" t="n">
        <v>0.02</v>
      </c>
    </row>
    <row r="10" customFormat="false" ht="15" hidden="false" customHeight="false" outlineLevel="0" collapsed="false">
      <c r="A10" s="4" t="s">
        <v>8</v>
      </c>
      <c r="B10" s="6" t="n">
        <v>0.015</v>
      </c>
    </row>
    <row r="11" customFormat="false" ht="15" hidden="false" customHeight="false" outlineLevel="0" collapsed="false">
      <c r="A11" s="4" t="s">
        <v>9</v>
      </c>
      <c r="B11" s="6" t="n">
        <v>0.08</v>
      </c>
    </row>
    <row r="12" customFormat="false" ht="15" hidden="false" customHeight="false" outlineLevel="0" collapsed="false">
      <c r="A12" s="4" t="s">
        <v>10</v>
      </c>
      <c r="B12" s="6" t="n">
        <v>1</v>
      </c>
    </row>
    <row r="13" customFormat="false" ht="15" hidden="false" customHeight="false" outlineLevel="0" collapsed="false">
      <c r="A13" s="4" t="s">
        <v>11</v>
      </c>
      <c r="B13" s="6" t="n">
        <v>0.2</v>
      </c>
    </row>
    <row r="15" customFormat="false" ht="15" hidden="false" customHeight="false" outlineLevel="0" collapsed="false">
      <c r="A15" s="8" t="s">
        <v>12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4"/>
    <col collapsed="false" customWidth="true" hidden="false" outlineLevel="0" max="13" min="2" style="0" width="16"/>
  </cols>
  <sheetData>
    <row r="1" customFormat="false" ht="16.15" hidden="false" customHeight="false" outlineLevel="0" collapsed="false">
      <c r="A1" s="1" t="s">
        <v>13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Format="false" ht="15" hidden="false" customHeight="false" outlineLevel="0" collapsed="false">
      <c r="A2" s="3" t="s">
        <v>14</v>
      </c>
    </row>
    <row r="4" customFormat="false" ht="15" hidden="false" customHeight="false" outlineLevel="0" collapsed="false">
      <c r="A4" s="4" t="s">
        <v>15</v>
      </c>
      <c r="B4" s="9" t="n">
        <f aca="false">Assumptions!B4</f>
        <v>1000</v>
      </c>
    </row>
    <row r="5" customFormat="false" ht="15" hidden="false" customHeight="false" outlineLevel="0" collapsed="false">
      <c r="A5" s="4" t="s">
        <v>16</v>
      </c>
      <c r="B5" s="9" t="n">
        <f aca="false">'Capital Calls'!M8</f>
        <v>825.65</v>
      </c>
    </row>
    <row r="6" customFormat="false" ht="15" hidden="false" customHeight="false" outlineLevel="0" collapsed="false">
      <c r="A6" s="4" t="s">
        <v>17</v>
      </c>
      <c r="B6" s="9" t="n">
        <f aca="false">Portfolio!D12</f>
        <v>700</v>
      </c>
    </row>
    <row r="7" customFormat="false" ht="15" hidden="false" customHeight="false" outlineLevel="0" collapsed="false">
      <c r="A7" s="4" t="s">
        <v>18</v>
      </c>
      <c r="B7" s="9" t="n">
        <f aca="false">SUM(Fees!B11:M11)</f>
        <v>125.65</v>
      </c>
    </row>
    <row r="8" customFormat="false" ht="15" hidden="false" customHeight="false" outlineLevel="0" collapsed="false">
      <c r="A8" s="4" t="s">
        <v>19</v>
      </c>
      <c r="B8" s="9" t="n">
        <f aca="false">Portfolio!H12</f>
        <v>1494</v>
      </c>
    </row>
    <row r="9" customFormat="false" ht="15" hidden="false" customHeight="false" outlineLevel="0" collapsed="false">
      <c r="A9" s="4" t="s">
        <v>20</v>
      </c>
      <c r="B9" s="9" t="n">
        <f aca="false">SUM('Waterfall (European)'!B27:M27)</f>
        <v>1359.73</v>
      </c>
    </row>
    <row r="10" customFormat="false" ht="15" hidden="false" customHeight="false" outlineLevel="0" collapsed="false">
      <c r="A10" s="4" t="s">
        <v>21</v>
      </c>
      <c r="B10" s="9" t="n">
        <f aca="false">SUM('Waterfall (European)'!B28:M28)</f>
        <v>134.27</v>
      </c>
    </row>
    <row r="11" customFormat="false" ht="15" hidden="false" customHeight="false" outlineLevel="0" collapsed="false">
      <c r="A11" s="4" t="s">
        <v>22</v>
      </c>
      <c r="B11" s="9" t="n">
        <f aca="false">'Waterfall (American)'!M12</f>
        <v>184.4</v>
      </c>
    </row>
    <row r="12" customFormat="false" ht="15" hidden="false" customHeight="false" outlineLevel="0" collapsed="false">
      <c r="A12" s="4" t="s">
        <v>23</v>
      </c>
      <c r="B12" s="9" t="n">
        <f aca="false">'Waterfall (American)'!B17</f>
        <v>50.13</v>
      </c>
    </row>
    <row r="13" customFormat="false" ht="15" hidden="false" customHeight="false" outlineLevel="0" collapsed="false">
      <c r="A13" s="4" t="s">
        <v>24</v>
      </c>
      <c r="B13" s="9" t="n">
        <f aca="false">Metrics!M8</f>
        <v>160</v>
      </c>
    </row>
    <row r="14" customFormat="false" ht="15" hidden="false" customHeight="false" outlineLevel="0" collapsed="false">
      <c r="A14" s="4" t="s">
        <v>25</v>
      </c>
      <c r="B14" s="10" t="n">
        <f aca="false">Metrics!M10</f>
        <v>1.64686004965785</v>
      </c>
    </row>
    <row r="15" customFormat="false" ht="15" hidden="false" customHeight="false" outlineLevel="0" collapsed="false">
      <c r="A15" s="4" t="s">
        <v>26</v>
      </c>
      <c r="B15" s="10" t="n">
        <f aca="false">Metrics!M11</f>
        <v>0.193786713498456</v>
      </c>
    </row>
    <row r="16" customFormat="false" ht="15" hidden="false" customHeight="false" outlineLevel="0" collapsed="false">
      <c r="A16" s="4" t="s">
        <v>27</v>
      </c>
      <c r="B16" s="10" t="n">
        <f aca="false">Metrics!M12</f>
        <v>1.8406467631563</v>
      </c>
    </row>
    <row r="17" customFormat="false" ht="15" hidden="false" customHeight="false" outlineLevel="0" collapsed="false">
      <c r="A17" s="4" t="s">
        <v>28</v>
      </c>
      <c r="B17" s="11" t="n">
        <f aca="false">Metrics!B16</f>
        <v>0.135687592255982</v>
      </c>
    </row>
    <row r="19" customFormat="false" ht="15" hidden="false" customHeight="false" outlineLevel="0" collapsed="false">
      <c r="A19" s="12" t="s">
        <v>29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2" min="1" style="0" width="12"/>
    <col collapsed="false" customWidth="true" hidden="false" outlineLevel="0" max="9" min="3" style="0" width="14"/>
  </cols>
  <sheetData>
    <row r="1" customFormat="false" ht="16.15" hidden="false" customHeight="false" outlineLevel="0" collapsed="false">
      <c r="A1" s="1" t="s">
        <v>30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Format="false" ht="15" hidden="false" customHeight="false" outlineLevel="0" collapsed="false">
      <c r="A2" s="3" t="s">
        <v>31</v>
      </c>
    </row>
    <row r="3" customFormat="false" ht="23.85" hidden="false" customHeight="false" outlineLevel="0" collapsed="false">
      <c r="A3" s="13" t="s">
        <v>32</v>
      </c>
      <c r="B3" s="13" t="s">
        <v>33</v>
      </c>
      <c r="C3" s="13" t="s">
        <v>34</v>
      </c>
      <c r="D3" s="13" t="s">
        <v>35</v>
      </c>
      <c r="E3" s="13" t="s">
        <v>36</v>
      </c>
      <c r="F3" s="13" t="s">
        <v>37</v>
      </c>
      <c r="G3" s="13" t="s">
        <v>38</v>
      </c>
      <c r="H3" s="13" t="s">
        <v>39</v>
      </c>
    </row>
    <row r="4" customFormat="false" ht="15" hidden="false" customHeight="false" outlineLevel="0" collapsed="false">
      <c r="A4" s="14" t="s">
        <v>40</v>
      </c>
      <c r="B4" s="14" t="s">
        <v>41</v>
      </c>
      <c r="C4" s="15" t="n">
        <v>2026</v>
      </c>
      <c r="D4" s="16" t="n">
        <v>80</v>
      </c>
      <c r="E4" s="17" t="n">
        <v>1</v>
      </c>
      <c r="F4" s="15" t="n">
        <v>2030</v>
      </c>
      <c r="G4" s="17" t="n">
        <v>2.5</v>
      </c>
      <c r="H4" s="18" t="n">
        <f aca="false">IF(F4&gt;=9999,0,D4*G4)</f>
        <v>200</v>
      </c>
    </row>
    <row r="5" customFormat="false" ht="15" hidden="false" customHeight="false" outlineLevel="0" collapsed="false">
      <c r="A5" s="14" t="s">
        <v>42</v>
      </c>
      <c r="B5" s="14" t="s">
        <v>43</v>
      </c>
      <c r="C5" s="15" t="n">
        <v>2026</v>
      </c>
      <c r="D5" s="16" t="n">
        <v>60</v>
      </c>
      <c r="E5" s="17" t="n">
        <v>1</v>
      </c>
      <c r="F5" s="15" t="n">
        <v>2031</v>
      </c>
      <c r="G5" s="17" t="n">
        <v>3.2</v>
      </c>
      <c r="H5" s="18" t="n">
        <f aca="false">IF(F5&gt;=9999,0,D5*G5)</f>
        <v>192</v>
      </c>
    </row>
    <row r="6" customFormat="false" ht="15" hidden="false" customHeight="false" outlineLevel="0" collapsed="false">
      <c r="A6" s="14" t="s">
        <v>44</v>
      </c>
      <c r="B6" s="14" t="s">
        <v>45</v>
      </c>
      <c r="C6" s="15" t="n">
        <v>2027</v>
      </c>
      <c r="D6" s="16" t="n">
        <v>90</v>
      </c>
      <c r="E6" s="17" t="n">
        <v>1.8</v>
      </c>
      <c r="F6" s="15" t="n">
        <v>2032</v>
      </c>
      <c r="G6" s="17" t="n">
        <v>2</v>
      </c>
      <c r="H6" s="18" t="n">
        <f aca="false">IF(F6&gt;=9999,0,D6*G6)</f>
        <v>180</v>
      </c>
    </row>
    <row r="7" customFormat="false" ht="15" hidden="false" customHeight="false" outlineLevel="0" collapsed="false">
      <c r="A7" s="14" t="s">
        <v>46</v>
      </c>
      <c r="B7" s="14" t="s">
        <v>47</v>
      </c>
      <c r="C7" s="15" t="n">
        <v>2027</v>
      </c>
      <c r="D7" s="16" t="n">
        <v>70</v>
      </c>
      <c r="E7" s="17" t="n">
        <v>1</v>
      </c>
      <c r="F7" s="15" t="n">
        <v>2029</v>
      </c>
      <c r="G7" s="17" t="n">
        <v>0.6</v>
      </c>
      <c r="H7" s="18" t="n">
        <f aca="false">IF(F7&gt;=9999,0,D7*G7)</f>
        <v>42</v>
      </c>
    </row>
    <row r="8" customFormat="false" ht="15" hidden="false" customHeight="false" outlineLevel="0" collapsed="false">
      <c r="A8" s="14" t="s">
        <v>48</v>
      </c>
      <c r="B8" s="14" t="s">
        <v>49</v>
      </c>
      <c r="C8" s="15" t="n">
        <v>2028</v>
      </c>
      <c r="D8" s="16" t="n">
        <v>100</v>
      </c>
      <c r="E8" s="17" t="n">
        <v>2.2</v>
      </c>
      <c r="F8" s="15" t="n">
        <v>2033</v>
      </c>
      <c r="G8" s="17" t="n">
        <v>4</v>
      </c>
      <c r="H8" s="18" t="n">
        <f aca="false">IF(F8&gt;=9999,0,D8*G8)</f>
        <v>400</v>
      </c>
    </row>
    <row r="9" customFormat="false" ht="15" hidden="false" customHeight="false" outlineLevel="0" collapsed="false">
      <c r="A9" s="14" t="s">
        <v>50</v>
      </c>
      <c r="B9" s="14" t="s">
        <v>51</v>
      </c>
      <c r="C9" s="15" t="n">
        <v>2028</v>
      </c>
      <c r="D9" s="16" t="n">
        <v>80</v>
      </c>
      <c r="E9" s="17" t="n">
        <v>1.5</v>
      </c>
      <c r="F9" s="15" t="n">
        <v>2034</v>
      </c>
      <c r="G9" s="17" t="n">
        <v>1.8</v>
      </c>
      <c r="H9" s="18" t="n">
        <f aca="false">IF(F9&gt;=9999,0,D9*G9)</f>
        <v>144</v>
      </c>
    </row>
    <row r="10" customFormat="false" ht="15" hidden="false" customHeight="false" outlineLevel="0" collapsed="false">
      <c r="A10" s="14" t="s">
        <v>52</v>
      </c>
      <c r="B10" s="14" t="s">
        <v>53</v>
      </c>
      <c r="C10" s="15" t="n">
        <v>2029</v>
      </c>
      <c r="D10" s="16" t="n">
        <v>120</v>
      </c>
      <c r="E10" s="17" t="n">
        <v>2</v>
      </c>
      <c r="F10" s="15" t="n">
        <v>2035</v>
      </c>
      <c r="G10" s="17" t="n">
        <v>2.8</v>
      </c>
      <c r="H10" s="18" t="n">
        <f aca="false">IF(F10&gt;=9999,0,D10*G10)</f>
        <v>336</v>
      </c>
    </row>
    <row r="11" customFormat="false" ht="15" hidden="false" customHeight="false" outlineLevel="0" collapsed="false">
      <c r="A11" s="14" t="s">
        <v>54</v>
      </c>
      <c r="B11" s="14" t="s">
        <v>55</v>
      </c>
      <c r="C11" s="15" t="n">
        <v>2030</v>
      </c>
      <c r="D11" s="16" t="n">
        <v>100</v>
      </c>
      <c r="E11" s="17" t="n">
        <v>1.6</v>
      </c>
      <c r="F11" s="15" t="n">
        <v>9999</v>
      </c>
      <c r="G11" s="17" t="n">
        <v>0</v>
      </c>
      <c r="H11" s="18" t="n">
        <f aca="false">IF(F11&gt;=9999,0,D11*G11)</f>
        <v>0</v>
      </c>
    </row>
    <row r="12" customFormat="false" ht="15" hidden="false" customHeight="false" outlineLevel="0" collapsed="false">
      <c r="A12" s="8" t="s">
        <v>56</v>
      </c>
      <c r="D12" s="19" t="n">
        <f aca="false">SUM(D4:D11)</f>
        <v>700</v>
      </c>
      <c r="H12" s="19" t="n">
        <f aca="false">SUM(H4:H11)</f>
        <v>1494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4"/>
    <col collapsed="false" customWidth="true" hidden="false" outlineLevel="0" max="13" min="2" style="0" width="11"/>
  </cols>
  <sheetData>
    <row r="1" customFormat="false" ht="16.15" hidden="false" customHeight="false" outlineLevel="0" collapsed="false">
      <c r="A1" s="1" t="s">
        <v>57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Format="false" ht="15" hidden="false" customHeight="false" outlineLevel="0" collapsed="false">
      <c r="A2" s="3" t="s">
        <v>58</v>
      </c>
    </row>
    <row r="3" customFormat="false" ht="15" hidden="false" customHeight="false" outlineLevel="0" collapsed="false">
      <c r="A3" s="20" t="s">
        <v>59</v>
      </c>
      <c r="B3" s="21" t="n">
        <v>2026</v>
      </c>
      <c r="C3" s="21" t="n">
        <v>2027</v>
      </c>
      <c r="D3" s="21" t="n">
        <v>2028</v>
      </c>
      <c r="E3" s="21" t="n">
        <v>2029</v>
      </c>
      <c r="F3" s="21" t="n">
        <v>2030</v>
      </c>
      <c r="G3" s="21" t="n">
        <v>2031</v>
      </c>
      <c r="H3" s="21" t="n">
        <v>2032</v>
      </c>
      <c r="I3" s="21" t="n">
        <v>2033</v>
      </c>
      <c r="J3" s="21" t="n">
        <v>2034</v>
      </c>
      <c r="K3" s="21" t="n">
        <v>2035</v>
      </c>
      <c r="L3" s="21" t="n">
        <v>2036</v>
      </c>
      <c r="M3" s="21" t="n">
        <v>2037</v>
      </c>
    </row>
    <row r="5" customFormat="false" ht="15" hidden="false" customHeight="false" outlineLevel="0" collapsed="false">
      <c r="A5" s="12" t="s">
        <v>60</v>
      </c>
      <c r="B5" s="22" t="n">
        <f aca="false">SUMIFS(Portfolio!$D$4:$D$11,Portfolio!$C$4:$C$11,"&lt;="&amp;B$3)</f>
        <v>140</v>
      </c>
      <c r="C5" s="22" t="n">
        <f aca="false">SUMIFS(Portfolio!$D$4:$D$11,Portfolio!$C$4:$C$11,"&lt;="&amp;C$3)</f>
        <v>300</v>
      </c>
      <c r="D5" s="22" t="n">
        <f aca="false">SUMIFS(Portfolio!$D$4:$D$11,Portfolio!$C$4:$C$11,"&lt;="&amp;D$3)</f>
        <v>480</v>
      </c>
      <c r="E5" s="22" t="n">
        <f aca="false">SUMIFS(Portfolio!$D$4:$D$11,Portfolio!$C$4:$C$11,"&lt;="&amp;E$3)</f>
        <v>600</v>
      </c>
      <c r="F5" s="22" t="n">
        <f aca="false">SUMIFS(Portfolio!$D$4:$D$11,Portfolio!$C$4:$C$11,"&lt;="&amp;F$3)</f>
        <v>700</v>
      </c>
      <c r="G5" s="22" t="n">
        <f aca="false">SUMIFS(Portfolio!$D$4:$D$11,Portfolio!$C$4:$C$11,"&lt;="&amp;G$3)</f>
        <v>700</v>
      </c>
      <c r="H5" s="22" t="n">
        <f aca="false">SUMIFS(Portfolio!$D$4:$D$11,Portfolio!$C$4:$C$11,"&lt;="&amp;H$3)</f>
        <v>700</v>
      </c>
      <c r="I5" s="22" t="n">
        <f aca="false">SUMIFS(Portfolio!$D$4:$D$11,Portfolio!$C$4:$C$11,"&lt;="&amp;I$3)</f>
        <v>700</v>
      </c>
      <c r="J5" s="22" t="n">
        <f aca="false">SUMIFS(Portfolio!$D$4:$D$11,Portfolio!$C$4:$C$11,"&lt;="&amp;J$3)</f>
        <v>700</v>
      </c>
      <c r="K5" s="22" t="n">
        <f aca="false">SUMIFS(Portfolio!$D$4:$D$11,Portfolio!$C$4:$C$11,"&lt;="&amp;K$3)</f>
        <v>700</v>
      </c>
      <c r="L5" s="22" t="n">
        <f aca="false">SUMIFS(Portfolio!$D$4:$D$11,Portfolio!$C$4:$C$11,"&lt;="&amp;L$3)</f>
        <v>700</v>
      </c>
      <c r="M5" s="22" t="n">
        <f aca="false">SUMIFS(Portfolio!$D$4:$D$11,Portfolio!$C$4:$C$11,"&lt;="&amp;M$3)</f>
        <v>700</v>
      </c>
    </row>
    <row r="6" customFormat="false" ht="15" hidden="false" customHeight="false" outlineLevel="0" collapsed="false">
      <c r="A6" s="12" t="s">
        <v>61</v>
      </c>
      <c r="B6" s="22" t="n">
        <f aca="false">SUMIFS(Portfolio!$D$4:$D$11,Portfolio!$F$4:$F$11,"&lt;="&amp;B$3)</f>
        <v>0</v>
      </c>
      <c r="C6" s="22" t="n">
        <f aca="false">SUMIFS(Portfolio!$D$4:$D$11,Portfolio!$F$4:$F$11,"&lt;="&amp;C$3)</f>
        <v>0</v>
      </c>
      <c r="D6" s="22" t="n">
        <f aca="false">SUMIFS(Portfolio!$D$4:$D$11,Portfolio!$F$4:$F$11,"&lt;="&amp;D$3)</f>
        <v>0</v>
      </c>
      <c r="E6" s="22" t="n">
        <f aca="false">SUMIFS(Portfolio!$D$4:$D$11,Portfolio!$F$4:$F$11,"&lt;="&amp;E$3)</f>
        <v>70</v>
      </c>
      <c r="F6" s="22" t="n">
        <f aca="false">SUMIFS(Portfolio!$D$4:$D$11,Portfolio!$F$4:$F$11,"&lt;="&amp;F$3)</f>
        <v>150</v>
      </c>
      <c r="G6" s="22" t="n">
        <f aca="false">SUMIFS(Portfolio!$D$4:$D$11,Portfolio!$F$4:$F$11,"&lt;="&amp;G$3)</f>
        <v>210</v>
      </c>
      <c r="H6" s="22" t="n">
        <f aca="false">SUMIFS(Portfolio!$D$4:$D$11,Portfolio!$F$4:$F$11,"&lt;="&amp;H$3)</f>
        <v>300</v>
      </c>
      <c r="I6" s="22" t="n">
        <f aca="false">SUMIFS(Portfolio!$D$4:$D$11,Portfolio!$F$4:$F$11,"&lt;="&amp;I$3)</f>
        <v>400</v>
      </c>
      <c r="J6" s="22" t="n">
        <f aca="false">SUMIFS(Portfolio!$D$4:$D$11,Portfolio!$F$4:$F$11,"&lt;="&amp;J$3)</f>
        <v>480</v>
      </c>
      <c r="K6" s="22" t="n">
        <f aca="false">SUMIFS(Portfolio!$D$4:$D$11,Portfolio!$F$4:$F$11,"&lt;="&amp;K$3)</f>
        <v>600</v>
      </c>
      <c r="L6" s="22" t="n">
        <f aca="false">SUMIFS(Portfolio!$D$4:$D$11,Portfolio!$F$4:$F$11,"&lt;="&amp;L$3)</f>
        <v>600</v>
      </c>
      <c r="M6" s="22" t="n">
        <f aca="false">SUMIFS(Portfolio!$D$4:$D$11,Portfolio!$F$4:$F$11,"&lt;="&amp;M$3)</f>
        <v>600</v>
      </c>
    </row>
    <row r="7" customFormat="false" ht="15" hidden="false" customHeight="false" outlineLevel="0" collapsed="false">
      <c r="A7" s="12" t="s">
        <v>62</v>
      </c>
      <c r="B7" s="23" t="n">
        <f aca="false">B5-B6</f>
        <v>140</v>
      </c>
      <c r="C7" s="23" t="n">
        <f aca="false">C5-C6</f>
        <v>300</v>
      </c>
      <c r="D7" s="23" t="n">
        <f aca="false">D5-D6</f>
        <v>480</v>
      </c>
      <c r="E7" s="23" t="n">
        <f aca="false">E5-E6</f>
        <v>530</v>
      </c>
      <c r="F7" s="23" t="n">
        <f aca="false">F5-F6</f>
        <v>550</v>
      </c>
      <c r="G7" s="23" t="n">
        <f aca="false">G5-G6</f>
        <v>490</v>
      </c>
      <c r="H7" s="23" t="n">
        <f aca="false">H5-H6</f>
        <v>400</v>
      </c>
      <c r="I7" s="23" t="n">
        <f aca="false">I5-I6</f>
        <v>300</v>
      </c>
      <c r="J7" s="23" t="n">
        <f aca="false">J5-J6</f>
        <v>220</v>
      </c>
      <c r="K7" s="23" t="n">
        <f aca="false">K5-K6</f>
        <v>100</v>
      </c>
      <c r="L7" s="23" t="n">
        <f aca="false">L5-L6</f>
        <v>100</v>
      </c>
      <c r="M7" s="23" t="n">
        <f aca="false">M5-M6</f>
        <v>100</v>
      </c>
    </row>
    <row r="8" customFormat="false" ht="15" hidden="false" customHeight="false" outlineLevel="0" collapsed="false">
      <c r="A8" s="12" t="s">
        <v>63</v>
      </c>
      <c r="B8" s="24" t="n">
        <f aca="false">IF(B$3-Assumptions!$B$6+1&lt;=Assumptions!$B$8,1,0)</f>
        <v>1</v>
      </c>
      <c r="C8" s="24" t="n">
        <f aca="false">IF(C$3-Assumptions!$B$6+1&lt;=Assumptions!$B$8,1,0)</f>
        <v>1</v>
      </c>
      <c r="D8" s="24" t="n">
        <f aca="false">IF(D$3-Assumptions!$B$6+1&lt;=Assumptions!$B$8,1,0)</f>
        <v>1</v>
      </c>
      <c r="E8" s="24" t="n">
        <f aca="false">IF(E$3-Assumptions!$B$6+1&lt;=Assumptions!$B$8,1,0)</f>
        <v>1</v>
      </c>
      <c r="F8" s="24" t="n">
        <f aca="false">IF(F$3-Assumptions!$B$6+1&lt;=Assumptions!$B$8,1,0)</f>
        <v>1</v>
      </c>
      <c r="G8" s="24" t="n">
        <f aca="false">IF(G$3-Assumptions!$B$6+1&lt;=Assumptions!$B$8,1,0)</f>
        <v>0</v>
      </c>
      <c r="H8" s="24" t="n">
        <f aca="false">IF(H$3-Assumptions!$B$6+1&lt;=Assumptions!$B$8,1,0)</f>
        <v>0</v>
      </c>
      <c r="I8" s="24" t="n">
        <f aca="false">IF(I$3-Assumptions!$B$6+1&lt;=Assumptions!$B$8,1,0)</f>
        <v>0</v>
      </c>
      <c r="J8" s="24" t="n">
        <f aca="false">IF(J$3-Assumptions!$B$6+1&lt;=Assumptions!$B$8,1,0)</f>
        <v>0</v>
      </c>
      <c r="K8" s="24" t="n">
        <f aca="false">IF(K$3-Assumptions!$B$6+1&lt;=Assumptions!$B$8,1,0)</f>
        <v>0</v>
      </c>
      <c r="L8" s="24" t="n">
        <f aca="false">IF(L$3-Assumptions!$B$6+1&lt;=Assumptions!$B$8,1,0)</f>
        <v>0</v>
      </c>
      <c r="M8" s="24" t="n">
        <f aca="false">IF(M$3-Assumptions!$B$6+1&lt;=Assumptions!$B$8,1,0)</f>
        <v>0</v>
      </c>
    </row>
    <row r="9" customFormat="false" ht="15" hidden="false" customHeight="false" outlineLevel="0" collapsed="false">
      <c r="A9" s="12" t="s">
        <v>64</v>
      </c>
      <c r="B9" s="23" t="n">
        <f aca="false">IF(B8=1,Assumptions!$B$4,B7)</f>
        <v>1000</v>
      </c>
      <c r="C9" s="23" t="n">
        <f aca="false">IF(C8=1,Assumptions!$B$4,C7)</f>
        <v>1000</v>
      </c>
      <c r="D9" s="23" t="n">
        <f aca="false">IF(D8=1,Assumptions!$B$4,D7)</f>
        <v>1000</v>
      </c>
      <c r="E9" s="23" t="n">
        <f aca="false">IF(E8=1,Assumptions!$B$4,E7)</f>
        <v>1000</v>
      </c>
      <c r="F9" s="23" t="n">
        <f aca="false">IF(F8=1,Assumptions!$B$4,F7)</f>
        <v>1000</v>
      </c>
      <c r="G9" s="23" t="n">
        <f aca="false">IF(G8=1,Assumptions!$B$4,G7)</f>
        <v>490</v>
      </c>
      <c r="H9" s="23" t="n">
        <f aca="false">IF(H8=1,Assumptions!$B$4,H7)</f>
        <v>400</v>
      </c>
      <c r="I9" s="23" t="n">
        <f aca="false">IF(I8=1,Assumptions!$B$4,I7)</f>
        <v>300</v>
      </c>
      <c r="J9" s="23" t="n">
        <f aca="false">IF(J8=1,Assumptions!$B$4,J7)</f>
        <v>220</v>
      </c>
      <c r="K9" s="23" t="n">
        <f aca="false">IF(K8=1,Assumptions!$B$4,K7)</f>
        <v>100</v>
      </c>
      <c r="L9" s="23" t="n">
        <f aca="false">IF(L8=1,Assumptions!$B$4,L7)</f>
        <v>100</v>
      </c>
      <c r="M9" s="23" t="n">
        <f aca="false">IF(M8=1,Assumptions!$B$4,M7)</f>
        <v>100</v>
      </c>
    </row>
    <row r="10" customFormat="false" ht="15" hidden="false" customHeight="false" outlineLevel="0" collapsed="false">
      <c r="A10" s="12" t="s">
        <v>65</v>
      </c>
      <c r="B10" s="25" t="n">
        <f aca="false">IF(B8=1,Assumptions!$B$9,Assumptions!$B$10)</f>
        <v>0.02</v>
      </c>
      <c r="C10" s="25" t="n">
        <f aca="false">IF(C8=1,Assumptions!$B$9,Assumptions!$B$10)</f>
        <v>0.02</v>
      </c>
      <c r="D10" s="25" t="n">
        <f aca="false">IF(D8=1,Assumptions!$B$9,Assumptions!$B$10)</f>
        <v>0.02</v>
      </c>
      <c r="E10" s="25" t="n">
        <f aca="false">IF(E8=1,Assumptions!$B$9,Assumptions!$B$10)</f>
        <v>0.02</v>
      </c>
      <c r="F10" s="25" t="n">
        <f aca="false">IF(F8=1,Assumptions!$B$9,Assumptions!$B$10)</f>
        <v>0.02</v>
      </c>
      <c r="G10" s="25" t="n">
        <f aca="false">IF(G8=1,Assumptions!$B$9,Assumptions!$B$10)</f>
        <v>0.015</v>
      </c>
      <c r="H10" s="25" t="n">
        <f aca="false">IF(H8=1,Assumptions!$B$9,Assumptions!$B$10)</f>
        <v>0.015</v>
      </c>
      <c r="I10" s="25" t="n">
        <f aca="false">IF(I8=1,Assumptions!$B$9,Assumptions!$B$10)</f>
        <v>0.015</v>
      </c>
      <c r="J10" s="25" t="n">
        <f aca="false">IF(J8=1,Assumptions!$B$9,Assumptions!$B$10)</f>
        <v>0.015</v>
      </c>
      <c r="K10" s="25" t="n">
        <f aca="false">IF(K8=1,Assumptions!$B$9,Assumptions!$B$10)</f>
        <v>0.015</v>
      </c>
      <c r="L10" s="25" t="n">
        <f aca="false">IF(L8=1,Assumptions!$B$9,Assumptions!$B$10)</f>
        <v>0.015</v>
      </c>
      <c r="M10" s="25" t="n">
        <f aca="false">IF(M8=1,Assumptions!$B$9,Assumptions!$B$10)</f>
        <v>0.015</v>
      </c>
    </row>
    <row r="11" customFormat="false" ht="15" hidden="false" customHeight="false" outlineLevel="0" collapsed="false">
      <c r="A11" s="8" t="s">
        <v>66</v>
      </c>
      <c r="B11" s="19" t="n">
        <f aca="false">B9*B10</f>
        <v>20</v>
      </c>
      <c r="C11" s="19" t="n">
        <f aca="false">C9*C10</f>
        <v>20</v>
      </c>
      <c r="D11" s="19" t="n">
        <f aca="false">D9*D10</f>
        <v>20</v>
      </c>
      <c r="E11" s="19" t="n">
        <f aca="false">E9*E10</f>
        <v>20</v>
      </c>
      <c r="F11" s="19" t="n">
        <f aca="false">F9*F10</f>
        <v>20</v>
      </c>
      <c r="G11" s="19" t="n">
        <f aca="false">G9*G10</f>
        <v>7.35</v>
      </c>
      <c r="H11" s="19" t="n">
        <f aca="false">H9*H10</f>
        <v>6</v>
      </c>
      <c r="I11" s="19" t="n">
        <f aca="false">I9*I10</f>
        <v>4.5</v>
      </c>
      <c r="J11" s="19" t="n">
        <f aca="false">J9*J10</f>
        <v>3.3</v>
      </c>
      <c r="K11" s="19" t="n">
        <f aca="false">K9*K10</f>
        <v>1.5</v>
      </c>
      <c r="L11" s="19" t="n">
        <f aca="false">L9*L10</f>
        <v>1.5</v>
      </c>
      <c r="M11" s="19" t="n">
        <f aca="false">M9*M10</f>
        <v>1.5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4"/>
    <col collapsed="false" customWidth="true" hidden="false" outlineLevel="0" max="13" min="2" style="0" width="11"/>
  </cols>
  <sheetData>
    <row r="1" customFormat="false" ht="16.15" hidden="false" customHeight="false" outlineLevel="0" collapsed="false">
      <c r="A1" s="1" t="s">
        <v>67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Format="false" ht="15" hidden="false" customHeight="false" outlineLevel="0" collapsed="false">
      <c r="A2" s="3" t="s">
        <v>68</v>
      </c>
    </row>
    <row r="3" customFormat="false" ht="15" hidden="false" customHeight="false" outlineLevel="0" collapsed="false">
      <c r="A3" s="20" t="s">
        <v>59</v>
      </c>
      <c r="B3" s="21" t="n">
        <v>2026</v>
      </c>
      <c r="C3" s="21" t="n">
        <v>2027</v>
      </c>
      <c r="D3" s="21" t="n">
        <v>2028</v>
      </c>
      <c r="E3" s="21" t="n">
        <v>2029</v>
      </c>
      <c r="F3" s="21" t="n">
        <v>2030</v>
      </c>
      <c r="G3" s="21" t="n">
        <v>2031</v>
      </c>
      <c r="H3" s="21" t="n">
        <v>2032</v>
      </c>
      <c r="I3" s="21" t="n">
        <v>2033</v>
      </c>
      <c r="J3" s="21" t="n">
        <v>2034</v>
      </c>
      <c r="K3" s="21" t="n">
        <v>2035</v>
      </c>
      <c r="L3" s="21" t="n">
        <v>2036</v>
      </c>
      <c r="M3" s="21" t="n">
        <v>2037</v>
      </c>
    </row>
    <row r="5" customFormat="false" ht="15" hidden="false" customHeight="false" outlineLevel="0" collapsed="false">
      <c r="A5" s="12" t="s">
        <v>69</v>
      </c>
      <c r="B5" s="22" t="n">
        <f aca="false">SUMIFS(Portfolio!$D$4:$D$11,Portfolio!$C$4:$C$11,B$3)</f>
        <v>140</v>
      </c>
      <c r="C5" s="22" t="n">
        <f aca="false">SUMIFS(Portfolio!$D$4:$D$11,Portfolio!$C$4:$C$11,C$3)</f>
        <v>160</v>
      </c>
      <c r="D5" s="22" t="n">
        <f aca="false">SUMIFS(Portfolio!$D$4:$D$11,Portfolio!$C$4:$C$11,D$3)</f>
        <v>180</v>
      </c>
      <c r="E5" s="22" t="n">
        <f aca="false">SUMIFS(Portfolio!$D$4:$D$11,Portfolio!$C$4:$C$11,E$3)</f>
        <v>120</v>
      </c>
      <c r="F5" s="22" t="n">
        <f aca="false">SUMIFS(Portfolio!$D$4:$D$11,Portfolio!$C$4:$C$11,F$3)</f>
        <v>100</v>
      </c>
      <c r="G5" s="22" t="n">
        <f aca="false">SUMIFS(Portfolio!$D$4:$D$11,Portfolio!$C$4:$C$11,G$3)</f>
        <v>0</v>
      </c>
      <c r="H5" s="22" t="n">
        <f aca="false">SUMIFS(Portfolio!$D$4:$D$11,Portfolio!$C$4:$C$11,H$3)</f>
        <v>0</v>
      </c>
      <c r="I5" s="22" t="n">
        <f aca="false">SUMIFS(Portfolio!$D$4:$D$11,Portfolio!$C$4:$C$11,I$3)</f>
        <v>0</v>
      </c>
      <c r="J5" s="22" t="n">
        <f aca="false">SUMIFS(Portfolio!$D$4:$D$11,Portfolio!$C$4:$C$11,J$3)</f>
        <v>0</v>
      </c>
      <c r="K5" s="22" t="n">
        <f aca="false">SUMIFS(Portfolio!$D$4:$D$11,Portfolio!$C$4:$C$11,K$3)</f>
        <v>0</v>
      </c>
      <c r="L5" s="22" t="n">
        <f aca="false">SUMIFS(Portfolio!$D$4:$D$11,Portfolio!$C$4:$C$11,L$3)</f>
        <v>0</v>
      </c>
      <c r="M5" s="22" t="n">
        <f aca="false">SUMIFS(Portfolio!$D$4:$D$11,Portfolio!$C$4:$C$11,M$3)</f>
        <v>0</v>
      </c>
    </row>
    <row r="6" customFormat="false" ht="15" hidden="false" customHeight="false" outlineLevel="0" collapsed="false">
      <c r="A6" s="12" t="s">
        <v>70</v>
      </c>
      <c r="B6" s="22" t="n">
        <f aca="false">Fees!B11</f>
        <v>20</v>
      </c>
      <c r="C6" s="22" t="n">
        <f aca="false">Fees!C11</f>
        <v>20</v>
      </c>
      <c r="D6" s="22" t="n">
        <f aca="false">Fees!D11</f>
        <v>20</v>
      </c>
      <c r="E6" s="22" t="n">
        <f aca="false">Fees!E11</f>
        <v>20</v>
      </c>
      <c r="F6" s="22" t="n">
        <f aca="false">Fees!F11</f>
        <v>20</v>
      </c>
      <c r="G6" s="22" t="n">
        <f aca="false">Fees!G11</f>
        <v>7.35</v>
      </c>
      <c r="H6" s="22" t="n">
        <f aca="false">Fees!H11</f>
        <v>6</v>
      </c>
      <c r="I6" s="22" t="n">
        <f aca="false">Fees!I11</f>
        <v>4.5</v>
      </c>
      <c r="J6" s="22" t="n">
        <f aca="false">Fees!J11</f>
        <v>3.3</v>
      </c>
      <c r="K6" s="22" t="n">
        <f aca="false">Fees!K11</f>
        <v>1.5</v>
      </c>
      <c r="L6" s="22" t="n">
        <f aca="false">Fees!L11</f>
        <v>1.5</v>
      </c>
      <c r="M6" s="22" t="n">
        <f aca="false">Fees!M11</f>
        <v>1.5</v>
      </c>
    </row>
    <row r="7" customFormat="false" ht="15" hidden="false" customHeight="false" outlineLevel="0" collapsed="false">
      <c r="A7" s="8" t="s">
        <v>16</v>
      </c>
      <c r="B7" s="19" t="n">
        <f aca="false">B5+B6</f>
        <v>160</v>
      </c>
      <c r="C7" s="19" t="n">
        <f aca="false">C5+C6</f>
        <v>180</v>
      </c>
      <c r="D7" s="19" t="n">
        <f aca="false">D5+D6</f>
        <v>200</v>
      </c>
      <c r="E7" s="19" t="n">
        <f aca="false">E5+E6</f>
        <v>140</v>
      </c>
      <c r="F7" s="19" t="n">
        <f aca="false">F5+F6</f>
        <v>120</v>
      </c>
      <c r="G7" s="19" t="n">
        <f aca="false">G5+G6</f>
        <v>7.35</v>
      </c>
      <c r="H7" s="19" t="n">
        <f aca="false">H5+H6</f>
        <v>6</v>
      </c>
      <c r="I7" s="19" t="n">
        <f aca="false">I5+I6</f>
        <v>4.5</v>
      </c>
      <c r="J7" s="19" t="n">
        <f aca="false">J5+J6</f>
        <v>3.3</v>
      </c>
      <c r="K7" s="19" t="n">
        <f aca="false">K5+K6</f>
        <v>1.5</v>
      </c>
      <c r="L7" s="19" t="n">
        <f aca="false">L5+L6</f>
        <v>1.5</v>
      </c>
      <c r="M7" s="19" t="n">
        <f aca="false">M5+M6</f>
        <v>1.5</v>
      </c>
    </row>
    <row r="8" customFormat="false" ht="15" hidden="false" customHeight="false" outlineLevel="0" collapsed="false">
      <c r="A8" s="12" t="s">
        <v>71</v>
      </c>
      <c r="B8" s="23" t="n">
        <f aca="false">B7</f>
        <v>160</v>
      </c>
      <c r="C8" s="23" t="n">
        <f aca="false">B8+C7</f>
        <v>340</v>
      </c>
      <c r="D8" s="23" t="n">
        <f aca="false">C8+D7</f>
        <v>540</v>
      </c>
      <c r="E8" s="23" t="n">
        <f aca="false">D8+E7</f>
        <v>680</v>
      </c>
      <c r="F8" s="23" t="n">
        <f aca="false">E8+F7</f>
        <v>800</v>
      </c>
      <c r="G8" s="23" t="n">
        <f aca="false">F8+G7</f>
        <v>807.35</v>
      </c>
      <c r="H8" s="23" t="n">
        <f aca="false">G8+H7</f>
        <v>813.35</v>
      </c>
      <c r="I8" s="23" t="n">
        <f aca="false">H8+I7</f>
        <v>817.85</v>
      </c>
      <c r="J8" s="23" t="n">
        <f aca="false">I8+J7</f>
        <v>821.15</v>
      </c>
      <c r="K8" s="23" t="n">
        <f aca="false">J8+K7</f>
        <v>822.65</v>
      </c>
      <c r="L8" s="23" t="n">
        <f aca="false">K8+L7</f>
        <v>824.15</v>
      </c>
      <c r="M8" s="23" t="n">
        <f aca="false">L8+M7</f>
        <v>825.65</v>
      </c>
    </row>
    <row r="9" customFormat="false" ht="15" hidden="false" customHeight="false" outlineLevel="0" collapsed="false">
      <c r="A9" s="12" t="s">
        <v>72</v>
      </c>
      <c r="B9" s="23" t="n">
        <f aca="false">Assumptions!$B$4-B8</f>
        <v>840</v>
      </c>
      <c r="C9" s="23" t="n">
        <f aca="false">Assumptions!$B$4-C8</f>
        <v>660</v>
      </c>
      <c r="D9" s="23" t="n">
        <f aca="false">Assumptions!$B$4-D8</f>
        <v>460</v>
      </c>
      <c r="E9" s="23" t="n">
        <f aca="false">Assumptions!$B$4-E8</f>
        <v>320</v>
      </c>
      <c r="F9" s="23" t="n">
        <f aca="false">Assumptions!$B$4-F8</f>
        <v>200</v>
      </c>
      <c r="G9" s="23" t="n">
        <f aca="false">Assumptions!$B$4-G8</f>
        <v>192.65</v>
      </c>
      <c r="H9" s="23" t="n">
        <f aca="false">Assumptions!$B$4-H8</f>
        <v>186.65</v>
      </c>
      <c r="I9" s="23" t="n">
        <f aca="false">Assumptions!$B$4-I8</f>
        <v>182.15</v>
      </c>
      <c r="J9" s="23" t="n">
        <f aca="false">Assumptions!$B$4-J8</f>
        <v>178.85</v>
      </c>
      <c r="K9" s="23" t="n">
        <f aca="false">Assumptions!$B$4-K8</f>
        <v>177.35</v>
      </c>
      <c r="L9" s="23" t="n">
        <f aca="false">Assumptions!$B$4-L8</f>
        <v>175.85</v>
      </c>
      <c r="M9" s="23" t="n">
        <f aca="false">Assumptions!$B$4-M8</f>
        <v>174.35</v>
      </c>
    </row>
    <row r="10" customFormat="false" ht="15" hidden="false" customHeight="false" outlineLevel="0" collapsed="false">
      <c r="A10" s="12" t="s">
        <v>73</v>
      </c>
      <c r="B10" s="25" t="n">
        <f aca="false">B8/Assumptions!$B$4</f>
        <v>0.16</v>
      </c>
      <c r="C10" s="25" t="n">
        <f aca="false">C8/Assumptions!$B$4</f>
        <v>0.34</v>
      </c>
      <c r="D10" s="25" t="n">
        <f aca="false">D8/Assumptions!$B$4</f>
        <v>0.54</v>
      </c>
      <c r="E10" s="25" t="n">
        <f aca="false">E8/Assumptions!$B$4</f>
        <v>0.68</v>
      </c>
      <c r="F10" s="25" t="n">
        <f aca="false">F8/Assumptions!$B$4</f>
        <v>0.8</v>
      </c>
      <c r="G10" s="25" t="n">
        <f aca="false">G8/Assumptions!$B$4</f>
        <v>0.80735</v>
      </c>
      <c r="H10" s="25" t="n">
        <f aca="false">H8/Assumptions!$B$4</f>
        <v>0.81335</v>
      </c>
      <c r="I10" s="25" t="n">
        <f aca="false">I8/Assumptions!$B$4</f>
        <v>0.81785</v>
      </c>
      <c r="J10" s="25" t="n">
        <f aca="false">J8/Assumptions!$B$4</f>
        <v>0.82115</v>
      </c>
      <c r="K10" s="25" t="n">
        <f aca="false">K8/Assumptions!$B$4</f>
        <v>0.82265</v>
      </c>
      <c r="L10" s="25" t="n">
        <f aca="false">L8/Assumptions!$B$4</f>
        <v>0.82415</v>
      </c>
      <c r="M10" s="25" t="n">
        <f aca="false">M8/Assumptions!$B$4</f>
        <v>0.82565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4"/>
    <col collapsed="false" customWidth="true" hidden="false" outlineLevel="0" max="13" min="2" style="0" width="11"/>
  </cols>
  <sheetData>
    <row r="1" customFormat="false" ht="16.15" hidden="false" customHeight="false" outlineLevel="0" collapsed="false">
      <c r="A1" s="1" t="s">
        <v>74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Format="false" ht="15" hidden="false" customHeight="false" outlineLevel="0" collapsed="false">
      <c r="A2" s="3" t="s">
        <v>75</v>
      </c>
    </row>
    <row r="3" customFormat="false" ht="15" hidden="false" customHeight="false" outlineLevel="0" collapsed="false">
      <c r="A3" s="20" t="s">
        <v>59</v>
      </c>
      <c r="B3" s="21" t="n">
        <v>2026</v>
      </c>
      <c r="C3" s="21" t="n">
        <v>2027</v>
      </c>
      <c r="D3" s="21" t="n">
        <v>2028</v>
      </c>
      <c r="E3" s="21" t="n">
        <v>2029</v>
      </c>
      <c r="F3" s="21" t="n">
        <v>2030</v>
      </c>
      <c r="G3" s="21" t="n">
        <v>2031</v>
      </c>
      <c r="H3" s="21" t="n">
        <v>2032</v>
      </c>
      <c r="I3" s="21" t="n">
        <v>2033</v>
      </c>
      <c r="J3" s="21" t="n">
        <v>2034</v>
      </c>
      <c r="K3" s="21" t="n">
        <v>2035</v>
      </c>
      <c r="L3" s="21" t="n">
        <v>2036</v>
      </c>
      <c r="M3" s="21" t="n">
        <v>2037</v>
      </c>
    </row>
    <row r="5" customFormat="false" ht="15" hidden="false" customHeight="false" outlineLevel="0" collapsed="false">
      <c r="A5" s="12" t="s">
        <v>76</v>
      </c>
      <c r="B5" s="22" t="n">
        <f aca="false">SUMIFS(Portfolio!$H$4:$H$11,Portfolio!$F$4:$F$11,B$3)</f>
        <v>0</v>
      </c>
      <c r="C5" s="22" t="n">
        <f aca="false">SUMIFS(Portfolio!$H$4:$H$11,Portfolio!$F$4:$F$11,C$3)</f>
        <v>0</v>
      </c>
      <c r="D5" s="22" t="n">
        <f aca="false">SUMIFS(Portfolio!$H$4:$H$11,Portfolio!$F$4:$F$11,D$3)</f>
        <v>0</v>
      </c>
      <c r="E5" s="22" t="n">
        <f aca="false">SUMIFS(Portfolio!$H$4:$H$11,Portfolio!$F$4:$F$11,E$3)</f>
        <v>42</v>
      </c>
      <c r="F5" s="22" t="n">
        <f aca="false">SUMIFS(Portfolio!$H$4:$H$11,Portfolio!$F$4:$F$11,F$3)</f>
        <v>200</v>
      </c>
      <c r="G5" s="22" t="n">
        <f aca="false">SUMIFS(Portfolio!$H$4:$H$11,Portfolio!$F$4:$F$11,G$3)</f>
        <v>192</v>
      </c>
      <c r="H5" s="22" t="n">
        <f aca="false">SUMIFS(Portfolio!$H$4:$H$11,Portfolio!$F$4:$F$11,H$3)</f>
        <v>180</v>
      </c>
      <c r="I5" s="22" t="n">
        <f aca="false">SUMIFS(Portfolio!$H$4:$H$11,Portfolio!$F$4:$F$11,I$3)</f>
        <v>400</v>
      </c>
      <c r="J5" s="22" t="n">
        <f aca="false">SUMIFS(Portfolio!$H$4:$H$11,Portfolio!$F$4:$F$11,J$3)</f>
        <v>144</v>
      </c>
      <c r="K5" s="22" t="n">
        <f aca="false">SUMIFS(Portfolio!$H$4:$H$11,Portfolio!$F$4:$F$11,K$3)</f>
        <v>336</v>
      </c>
      <c r="L5" s="22" t="n">
        <f aca="false">SUMIFS(Portfolio!$H$4:$H$11,Portfolio!$F$4:$F$11,L$3)</f>
        <v>0</v>
      </c>
      <c r="M5" s="22" t="n">
        <f aca="false">SUMIFS(Portfolio!$H$4:$H$11,Portfolio!$F$4:$F$11,M$3)</f>
        <v>0</v>
      </c>
    </row>
    <row r="6" customFormat="false" ht="15" hidden="false" customHeight="false" outlineLevel="0" collapsed="false">
      <c r="A6" s="12" t="s">
        <v>77</v>
      </c>
      <c r="B6" s="22" t="n">
        <f aca="false">'Capital Calls'!B8</f>
        <v>160</v>
      </c>
      <c r="C6" s="22" t="n">
        <f aca="false">'Capital Calls'!C8</f>
        <v>340</v>
      </c>
      <c r="D6" s="22" t="n">
        <f aca="false">'Capital Calls'!D8</f>
        <v>540</v>
      </c>
      <c r="E6" s="22" t="n">
        <f aca="false">'Capital Calls'!E8</f>
        <v>680</v>
      </c>
      <c r="F6" s="22" t="n">
        <f aca="false">'Capital Calls'!F8</f>
        <v>800</v>
      </c>
      <c r="G6" s="22" t="n">
        <f aca="false">'Capital Calls'!G8</f>
        <v>807.35</v>
      </c>
      <c r="H6" s="22" t="n">
        <f aca="false">'Capital Calls'!H8</f>
        <v>813.35</v>
      </c>
      <c r="I6" s="22" t="n">
        <f aca="false">'Capital Calls'!I8</f>
        <v>817.85</v>
      </c>
      <c r="J6" s="22" t="n">
        <f aca="false">'Capital Calls'!J8</f>
        <v>821.15</v>
      </c>
      <c r="K6" s="22" t="n">
        <f aca="false">'Capital Calls'!K8</f>
        <v>822.65</v>
      </c>
      <c r="L6" s="22" t="n">
        <f aca="false">'Capital Calls'!L8</f>
        <v>824.15</v>
      </c>
      <c r="M6" s="22" t="n">
        <f aca="false">'Capital Calls'!M8</f>
        <v>825.65</v>
      </c>
    </row>
    <row r="7" customFormat="false" ht="15" hidden="false" customHeight="false" outlineLevel="0" collapsed="false">
      <c r="A7" s="8" t="s">
        <v>78</v>
      </c>
      <c r="B7" s="23" t="n">
        <f aca="false">MIN(B5,B6-0)</f>
        <v>0</v>
      </c>
      <c r="C7" s="23" t="n">
        <f aca="false">MIN(C5,C6-B8)</f>
        <v>0</v>
      </c>
      <c r="D7" s="23" t="n">
        <f aca="false">MIN(D5,D6-C8)</f>
        <v>0</v>
      </c>
      <c r="E7" s="23" t="n">
        <f aca="false">MIN(E5,E6-D8)</f>
        <v>42</v>
      </c>
      <c r="F7" s="23" t="n">
        <f aca="false">MIN(F5,F6-E8)</f>
        <v>200</v>
      </c>
      <c r="G7" s="23" t="n">
        <f aca="false">MIN(G5,G6-F8)</f>
        <v>192</v>
      </c>
      <c r="H7" s="23" t="n">
        <f aca="false">MIN(H5,H6-G8)</f>
        <v>180</v>
      </c>
      <c r="I7" s="23" t="n">
        <f aca="false">MIN(I5,I6-H8)</f>
        <v>203.85</v>
      </c>
      <c r="J7" s="23" t="n">
        <f aca="false">MIN(J5,J6-I8)</f>
        <v>3.29999999999995</v>
      </c>
      <c r="K7" s="23" t="n">
        <f aca="false">MIN(K5,K6-J8)</f>
        <v>1.5</v>
      </c>
      <c r="L7" s="23" t="n">
        <f aca="false">MIN(L5,L6-K8)</f>
        <v>0</v>
      </c>
      <c r="M7" s="23" t="n">
        <f aca="false">MIN(M5,M6-L8)</f>
        <v>0</v>
      </c>
    </row>
    <row r="8" customFormat="false" ht="15" hidden="false" customHeight="false" outlineLevel="0" collapsed="false">
      <c r="A8" s="12" t="s">
        <v>79</v>
      </c>
      <c r="B8" s="23" t="n">
        <f aca="false">B7</f>
        <v>0</v>
      </c>
      <c r="C8" s="23" t="n">
        <f aca="false">B8+C7</f>
        <v>0</v>
      </c>
      <c r="D8" s="23" t="n">
        <f aca="false">C8+D7</f>
        <v>0</v>
      </c>
      <c r="E8" s="23" t="n">
        <f aca="false">D8+E7</f>
        <v>42</v>
      </c>
      <c r="F8" s="23" t="n">
        <f aca="false">E8+F7</f>
        <v>242</v>
      </c>
      <c r="G8" s="23" t="n">
        <f aca="false">F8+G7</f>
        <v>434</v>
      </c>
      <c r="H8" s="23" t="n">
        <f aca="false">G8+H7</f>
        <v>614</v>
      </c>
      <c r="I8" s="23" t="n">
        <f aca="false">H8+I7</f>
        <v>817.85</v>
      </c>
      <c r="J8" s="23" t="n">
        <f aca="false">I8+J7</f>
        <v>821.15</v>
      </c>
      <c r="K8" s="23" t="n">
        <f aca="false">J8+K7</f>
        <v>822.65</v>
      </c>
      <c r="L8" s="23" t="n">
        <f aca="false">K8+L7</f>
        <v>822.65</v>
      </c>
      <c r="M8" s="23" t="n">
        <f aca="false">L8+M7</f>
        <v>822.65</v>
      </c>
    </row>
    <row r="9" customFormat="false" ht="15" hidden="false" customHeight="false" outlineLevel="0" collapsed="false">
      <c r="A9" s="12" t="s">
        <v>80</v>
      </c>
      <c r="B9" s="23" t="n">
        <f aca="false">B5-B7</f>
        <v>0</v>
      </c>
      <c r="C9" s="23" t="n">
        <f aca="false">C5-C7</f>
        <v>0</v>
      </c>
      <c r="D9" s="23" t="n">
        <f aca="false">D5-D7</f>
        <v>0</v>
      </c>
      <c r="E9" s="23" t="n">
        <f aca="false">E5-E7</f>
        <v>0</v>
      </c>
      <c r="F9" s="23" t="n">
        <f aca="false">F5-F7</f>
        <v>0</v>
      </c>
      <c r="G9" s="23" t="n">
        <f aca="false">G5-G7</f>
        <v>0</v>
      </c>
      <c r="H9" s="23" t="n">
        <f aca="false">H5-H7</f>
        <v>0</v>
      </c>
      <c r="I9" s="23" t="n">
        <f aca="false">I5-I7</f>
        <v>196.15</v>
      </c>
      <c r="J9" s="23" t="n">
        <f aca="false">J5-J7</f>
        <v>140.7</v>
      </c>
      <c r="K9" s="23" t="n">
        <f aca="false">K5-K7</f>
        <v>334.5</v>
      </c>
      <c r="L9" s="23" t="n">
        <f aca="false">L5-L7</f>
        <v>0</v>
      </c>
      <c r="M9" s="23" t="n">
        <f aca="false">M5-M7</f>
        <v>0</v>
      </c>
    </row>
    <row r="11" customFormat="false" ht="15" hidden="false" customHeight="false" outlineLevel="0" collapsed="false">
      <c r="A11" s="12" t="s">
        <v>81</v>
      </c>
      <c r="B11" s="23" t="n">
        <f aca="false">0</f>
        <v>0</v>
      </c>
      <c r="C11" s="23" t="n">
        <f aca="false">B6-B8</f>
        <v>160</v>
      </c>
      <c r="D11" s="23" t="n">
        <f aca="false">C6-C8</f>
        <v>340</v>
      </c>
      <c r="E11" s="23" t="n">
        <f aca="false">D6-D8</f>
        <v>540</v>
      </c>
      <c r="F11" s="23" t="n">
        <f aca="false">E6-E8</f>
        <v>638</v>
      </c>
      <c r="G11" s="23" t="n">
        <f aca="false">F6-F8</f>
        <v>558</v>
      </c>
      <c r="H11" s="23" t="n">
        <f aca="false">G6-G8</f>
        <v>373.35</v>
      </c>
      <c r="I11" s="23" t="n">
        <f aca="false">H6-H8</f>
        <v>199.35</v>
      </c>
      <c r="J11" s="23" t="n">
        <f aca="false">I6-I8</f>
        <v>0</v>
      </c>
      <c r="K11" s="23" t="n">
        <f aca="false">J6-J8</f>
        <v>0</v>
      </c>
      <c r="L11" s="23" t="n">
        <f aca="false">K6-K8</f>
        <v>0</v>
      </c>
      <c r="M11" s="23" t="n">
        <f aca="false">L6-L8</f>
        <v>1.5</v>
      </c>
    </row>
    <row r="12" customFormat="false" ht="15" hidden="false" customHeight="false" outlineLevel="0" collapsed="false">
      <c r="A12" s="12" t="s">
        <v>82</v>
      </c>
      <c r="B12" s="23" t="n">
        <f aca="false">0</f>
        <v>0</v>
      </c>
      <c r="C12" s="23" t="n">
        <f aca="false">B15</f>
        <v>0</v>
      </c>
      <c r="D12" s="23" t="n">
        <f aca="false">C15</f>
        <v>12.8</v>
      </c>
      <c r="E12" s="23" t="n">
        <f aca="false">D15</f>
        <v>41.024</v>
      </c>
      <c r="F12" s="23" t="n">
        <f aca="false">E15</f>
        <v>87.50592</v>
      </c>
      <c r="G12" s="23" t="n">
        <f aca="false">F15</f>
        <v>145.5463936</v>
      </c>
      <c r="H12" s="23" t="n">
        <f aca="false">G15</f>
        <v>201.830105088</v>
      </c>
      <c r="I12" s="23" t="n">
        <f aca="false">H15</f>
        <v>247.84451349504</v>
      </c>
      <c r="J12" s="23" t="n">
        <f aca="false">I15</f>
        <v>87.4700745746433</v>
      </c>
      <c r="K12" s="23" t="n">
        <f aca="false">J15</f>
        <v>0</v>
      </c>
      <c r="L12" s="23" t="n">
        <f aca="false">K15</f>
        <v>0</v>
      </c>
      <c r="M12" s="23" t="n">
        <f aca="false">L15</f>
        <v>0</v>
      </c>
    </row>
    <row r="13" customFormat="false" ht="15" hidden="false" customHeight="false" outlineLevel="0" collapsed="false">
      <c r="A13" s="12" t="s">
        <v>83</v>
      </c>
      <c r="B13" s="23" t="n">
        <f aca="false">Assumptions!$B$11*(B11+B12)</f>
        <v>0</v>
      </c>
      <c r="C13" s="23" t="n">
        <f aca="false">Assumptions!$B$11*(C11+C12)</f>
        <v>12.8</v>
      </c>
      <c r="D13" s="23" t="n">
        <f aca="false">Assumptions!$B$11*(D11+D12)</f>
        <v>28.224</v>
      </c>
      <c r="E13" s="23" t="n">
        <f aca="false">Assumptions!$B$11*(E11+E12)</f>
        <v>46.48192</v>
      </c>
      <c r="F13" s="23" t="n">
        <f aca="false">Assumptions!$B$11*(F11+F12)</f>
        <v>58.0404736</v>
      </c>
      <c r="G13" s="23" t="n">
        <f aca="false">Assumptions!$B$11*(G11+G12)</f>
        <v>56.283711488</v>
      </c>
      <c r="H13" s="23" t="n">
        <f aca="false">Assumptions!$B$11*(H11+H12)</f>
        <v>46.01440840704</v>
      </c>
      <c r="I13" s="23" t="n">
        <f aca="false">Assumptions!$B$11*(I11+I12)</f>
        <v>35.7755610796032</v>
      </c>
      <c r="J13" s="23" t="n">
        <f aca="false">Assumptions!$B$11*(J11+J12)</f>
        <v>6.99760596597146</v>
      </c>
      <c r="K13" s="23" t="n">
        <f aca="false">Assumptions!$B$11*(K11+K12)</f>
        <v>0</v>
      </c>
      <c r="L13" s="23" t="n">
        <f aca="false">Assumptions!$B$11*(L11+L12)</f>
        <v>0</v>
      </c>
      <c r="M13" s="23" t="n">
        <f aca="false">Assumptions!$B$11*(M11+M12)</f>
        <v>0.12</v>
      </c>
    </row>
    <row r="14" customFormat="false" ht="15" hidden="false" customHeight="false" outlineLevel="0" collapsed="false">
      <c r="A14" s="8" t="s">
        <v>84</v>
      </c>
      <c r="B14" s="23" t="n">
        <f aca="false">MIN(B9,B12+B13)</f>
        <v>0</v>
      </c>
      <c r="C14" s="23" t="n">
        <f aca="false">MIN(C9,C12+C13)</f>
        <v>0</v>
      </c>
      <c r="D14" s="23" t="n">
        <f aca="false">MIN(D9,D12+D13)</f>
        <v>0</v>
      </c>
      <c r="E14" s="23" t="n">
        <f aca="false">MIN(E9,E12+E13)</f>
        <v>0</v>
      </c>
      <c r="F14" s="23" t="n">
        <f aca="false">MIN(F9,F12+F13)</f>
        <v>0</v>
      </c>
      <c r="G14" s="23" t="n">
        <f aca="false">MIN(G9,G12+G13)</f>
        <v>0</v>
      </c>
      <c r="H14" s="23" t="n">
        <f aca="false">MIN(H9,H12+H13)</f>
        <v>0</v>
      </c>
      <c r="I14" s="23" t="n">
        <f aca="false">MIN(I9,I12+I13)</f>
        <v>196.15</v>
      </c>
      <c r="J14" s="23" t="n">
        <f aca="false">MIN(J9,J12+J13)</f>
        <v>94.4676805406147</v>
      </c>
      <c r="K14" s="23" t="n">
        <f aca="false">MIN(K9,K12+K13)</f>
        <v>0</v>
      </c>
      <c r="L14" s="23" t="n">
        <f aca="false">MIN(L9,L12+L13)</f>
        <v>0</v>
      </c>
      <c r="M14" s="23" t="n">
        <f aca="false">MIN(M9,M12+M13)</f>
        <v>0</v>
      </c>
    </row>
    <row r="15" customFormat="false" ht="15" hidden="false" customHeight="false" outlineLevel="0" collapsed="false">
      <c r="A15" s="12" t="s">
        <v>85</v>
      </c>
      <c r="B15" s="23" t="n">
        <f aca="false">B12+B13-B14</f>
        <v>0</v>
      </c>
      <c r="C15" s="23" t="n">
        <f aca="false">C12+C13-C14</f>
        <v>12.8</v>
      </c>
      <c r="D15" s="23" t="n">
        <f aca="false">D12+D13-D14</f>
        <v>41.024</v>
      </c>
      <c r="E15" s="23" t="n">
        <f aca="false">E12+E13-E14</f>
        <v>87.50592</v>
      </c>
      <c r="F15" s="23" t="n">
        <f aca="false">F12+F13-F14</f>
        <v>145.5463936</v>
      </c>
      <c r="G15" s="23" t="n">
        <f aca="false">G12+G13-G14</f>
        <v>201.830105088</v>
      </c>
      <c r="H15" s="23" t="n">
        <f aca="false">H12+H13-H14</f>
        <v>247.84451349504</v>
      </c>
      <c r="I15" s="23" t="n">
        <f aca="false">I12+I13-I14</f>
        <v>87.4700745746433</v>
      </c>
      <c r="J15" s="23" t="n">
        <f aca="false">J12+J13-J14</f>
        <v>0</v>
      </c>
      <c r="K15" s="23" t="n">
        <f aca="false">K12+K13-K14</f>
        <v>0</v>
      </c>
      <c r="L15" s="23" t="n">
        <f aca="false">L12+L13-L14</f>
        <v>0</v>
      </c>
      <c r="M15" s="23" t="n">
        <f aca="false">M12+M13-M14</f>
        <v>0.12</v>
      </c>
    </row>
    <row r="16" customFormat="false" ht="15" hidden="false" customHeight="false" outlineLevel="0" collapsed="false">
      <c r="A16" s="12" t="s">
        <v>86</v>
      </c>
      <c r="B16" s="23" t="n">
        <f aca="false">B14</f>
        <v>0</v>
      </c>
      <c r="C16" s="23" t="n">
        <f aca="false">B16+C14</f>
        <v>0</v>
      </c>
      <c r="D16" s="23" t="n">
        <f aca="false">C16+D14</f>
        <v>0</v>
      </c>
      <c r="E16" s="23" t="n">
        <f aca="false">D16+E14</f>
        <v>0</v>
      </c>
      <c r="F16" s="23" t="n">
        <f aca="false">E16+F14</f>
        <v>0</v>
      </c>
      <c r="G16" s="23" t="n">
        <f aca="false">F16+G14</f>
        <v>0</v>
      </c>
      <c r="H16" s="23" t="n">
        <f aca="false">G16+H14</f>
        <v>0</v>
      </c>
      <c r="I16" s="23" t="n">
        <f aca="false">H16+I14</f>
        <v>196.15</v>
      </c>
      <c r="J16" s="23" t="n">
        <f aca="false">I16+J14</f>
        <v>290.617680540615</v>
      </c>
      <c r="K16" s="23" t="n">
        <f aca="false">J16+K14</f>
        <v>290.617680540615</v>
      </c>
      <c r="L16" s="23" t="n">
        <f aca="false">K16+L14</f>
        <v>290.617680540615</v>
      </c>
      <c r="M16" s="23" t="n">
        <f aca="false">L16+M14</f>
        <v>290.617680540615</v>
      </c>
    </row>
    <row r="17" customFormat="false" ht="15" hidden="false" customHeight="false" outlineLevel="0" collapsed="false">
      <c r="A17" s="12" t="s">
        <v>87</v>
      </c>
      <c r="B17" s="23" t="n">
        <f aca="false">B9-B14</f>
        <v>0</v>
      </c>
      <c r="C17" s="23" t="n">
        <f aca="false">C9-C14</f>
        <v>0</v>
      </c>
      <c r="D17" s="23" t="n">
        <f aca="false">D9-D14</f>
        <v>0</v>
      </c>
      <c r="E17" s="23" t="n">
        <f aca="false">E9-E14</f>
        <v>0</v>
      </c>
      <c r="F17" s="23" t="n">
        <f aca="false">F9-F14</f>
        <v>0</v>
      </c>
      <c r="G17" s="23" t="n">
        <f aca="false">G9-G14</f>
        <v>0</v>
      </c>
      <c r="H17" s="23" t="n">
        <f aca="false">H9-H14</f>
        <v>0</v>
      </c>
      <c r="I17" s="23" t="n">
        <f aca="false">I9-I14</f>
        <v>0</v>
      </c>
      <c r="J17" s="23" t="n">
        <f aca="false">J9-J14</f>
        <v>46.2323194593853</v>
      </c>
      <c r="K17" s="23" t="n">
        <f aca="false">K9-K14</f>
        <v>334.5</v>
      </c>
      <c r="L17" s="23" t="n">
        <f aca="false">L9-L14</f>
        <v>0</v>
      </c>
      <c r="M17" s="23" t="n">
        <f aca="false">M9-M14</f>
        <v>0</v>
      </c>
    </row>
    <row r="19" customFormat="false" ht="15" hidden="false" customHeight="false" outlineLevel="0" collapsed="false">
      <c r="A19" s="12" t="s">
        <v>88</v>
      </c>
      <c r="B19" s="23" t="n">
        <f aca="false">Assumptions!$B$13/(1-Assumptions!$B$13)*B16*Assumptions!$B$12</f>
        <v>0</v>
      </c>
      <c r="C19" s="23" t="n">
        <f aca="false">Assumptions!$B$13/(1-Assumptions!$B$13)*C16*Assumptions!$B$12</f>
        <v>0</v>
      </c>
      <c r="D19" s="23" t="n">
        <f aca="false">Assumptions!$B$13/(1-Assumptions!$B$13)*D16*Assumptions!$B$12</f>
        <v>0</v>
      </c>
      <c r="E19" s="23" t="n">
        <f aca="false">Assumptions!$B$13/(1-Assumptions!$B$13)*E16*Assumptions!$B$12</f>
        <v>0</v>
      </c>
      <c r="F19" s="23" t="n">
        <f aca="false">Assumptions!$B$13/(1-Assumptions!$B$13)*F16*Assumptions!$B$12</f>
        <v>0</v>
      </c>
      <c r="G19" s="23" t="n">
        <f aca="false">Assumptions!$B$13/(1-Assumptions!$B$13)*G16*Assumptions!$B$12</f>
        <v>0</v>
      </c>
      <c r="H19" s="23" t="n">
        <f aca="false">Assumptions!$B$13/(1-Assumptions!$B$13)*H16*Assumptions!$B$12</f>
        <v>0</v>
      </c>
      <c r="I19" s="23" t="n">
        <f aca="false">Assumptions!$B$13/(1-Assumptions!$B$13)*I16*Assumptions!$B$12</f>
        <v>49.0375</v>
      </c>
      <c r="J19" s="23" t="n">
        <f aca="false">Assumptions!$B$13/(1-Assumptions!$B$13)*J16*Assumptions!$B$12</f>
        <v>72.6544201351537</v>
      </c>
      <c r="K19" s="23" t="n">
        <f aca="false">Assumptions!$B$13/(1-Assumptions!$B$13)*K16*Assumptions!$B$12</f>
        <v>72.6544201351537</v>
      </c>
      <c r="L19" s="23" t="n">
        <f aca="false">Assumptions!$B$13/(1-Assumptions!$B$13)*L16*Assumptions!$B$12</f>
        <v>72.6544201351537</v>
      </c>
      <c r="M19" s="23" t="n">
        <f aca="false">Assumptions!$B$13/(1-Assumptions!$B$13)*M16*Assumptions!$B$12</f>
        <v>72.6544201351537</v>
      </c>
    </row>
    <row r="20" customFormat="false" ht="15" hidden="false" customHeight="false" outlineLevel="0" collapsed="false">
      <c r="A20" s="8" t="s">
        <v>89</v>
      </c>
      <c r="B20" s="23" t="n">
        <f aca="false">MIN(B17,MAX(0,B19-0))</f>
        <v>0</v>
      </c>
      <c r="C20" s="23" t="n">
        <f aca="false">MIN(C17,MAX(0,C19-B21))</f>
        <v>0</v>
      </c>
      <c r="D20" s="23" t="n">
        <f aca="false">MIN(D17,MAX(0,D19-C21))</f>
        <v>0</v>
      </c>
      <c r="E20" s="23" t="n">
        <f aca="false">MIN(E17,MAX(0,E19-D21))</f>
        <v>0</v>
      </c>
      <c r="F20" s="23" t="n">
        <f aca="false">MIN(F17,MAX(0,F19-E21))</f>
        <v>0</v>
      </c>
      <c r="G20" s="23" t="n">
        <f aca="false">MIN(G17,MAX(0,G19-F21))</f>
        <v>0</v>
      </c>
      <c r="H20" s="23" t="n">
        <f aca="false">MIN(H17,MAX(0,H19-G21))</f>
        <v>0</v>
      </c>
      <c r="I20" s="23" t="n">
        <f aca="false">MIN(I17,MAX(0,I19-H21))</f>
        <v>0</v>
      </c>
      <c r="J20" s="23" t="n">
        <f aca="false">MIN(J17,MAX(0,J19-I21))</f>
        <v>46.2323194593853</v>
      </c>
      <c r="K20" s="23" t="n">
        <f aca="false">MIN(K17,MAX(0,K19-J21))</f>
        <v>26.4221006757684</v>
      </c>
      <c r="L20" s="23" t="n">
        <f aca="false">MIN(L17,MAX(0,L19-K21))</f>
        <v>0</v>
      </c>
      <c r="M20" s="23" t="n">
        <f aca="false">MIN(M17,MAX(0,M19-L21))</f>
        <v>0</v>
      </c>
    </row>
    <row r="21" customFormat="false" ht="15" hidden="false" customHeight="false" outlineLevel="0" collapsed="false">
      <c r="A21" s="12" t="s">
        <v>90</v>
      </c>
      <c r="B21" s="23" t="n">
        <f aca="false">B20</f>
        <v>0</v>
      </c>
      <c r="C21" s="23" t="n">
        <f aca="false">B21+C20</f>
        <v>0</v>
      </c>
      <c r="D21" s="23" t="n">
        <f aca="false">C21+D20</f>
        <v>0</v>
      </c>
      <c r="E21" s="23" t="n">
        <f aca="false">D21+E20</f>
        <v>0</v>
      </c>
      <c r="F21" s="23" t="n">
        <f aca="false">E21+F20</f>
        <v>0</v>
      </c>
      <c r="G21" s="23" t="n">
        <f aca="false">F21+G20</f>
        <v>0</v>
      </c>
      <c r="H21" s="23" t="n">
        <f aca="false">G21+H20</f>
        <v>0</v>
      </c>
      <c r="I21" s="23" t="n">
        <f aca="false">H21+I20</f>
        <v>0</v>
      </c>
      <c r="J21" s="23" t="n">
        <f aca="false">I21+J20</f>
        <v>46.2323194593853</v>
      </c>
      <c r="K21" s="23" t="n">
        <f aca="false">J21+K20</f>
        <v>72.6544201351537</v>
      </c>
      <c r="L21" s="23" t="n">
        <f aca="false">K21+L20</f>
        <v>72.6544201351537</v>
      </c>
      <c r="M21" s="23" t="n">
        <f aca="false">L21+M20</f>
        <v>72.6544201351537</v>
      </c>
    </row>
    <row r="22" customFormat="false" ht="15" hidden="false" customHeight="false" outlineLevel="0" collapsed="false">
      <c r="A22" s="12" t="s">
        <v>91</v>
      </c>
      <c r="B22" s="23" t="n">
        <f aca="false">B17-B20</f>
        <v>0</v>
      </c>
      <c r="C22" s="23" t="n">
        <f aca="false">C17-C20</f>
        <v>0</v>
      </c>
      <c r="D22" s="23" t="n">
        <f aca="false">D17-D20</f>
        <v>0</v>
      </c>
      <c r="E22" s="23" t="n">
        <f aca="false">E17-E20</f>
        <v>0</v>
      </c>
      <c r="F22" s="23" t="n">
        <f aca="false">F17-F20</f>
        <v>0</v>
      </c>
      <c r="G22" s="23" t="n">
        <f aca="false">G17-G20</f>
        <v>0</v>
      </c>
      <c r="H22" s="23" t="n">
        <f aca="false">H17-H20</f>
        <v>0</v>
      </c>
      <c r="I22" s="23" t="n">
        <f aca="false">I17-I20</f>
        <v>0</v>
      </c>
      <c r="J22" s="23" t="n">
        <f aca="false">J17-J20</f>
        <v>0</v>
      </c>
      <c r="K22" s="23" t="n">
        <f aca="false">K17-K20</f>
        <v>308.077899324232</v>
      </c>
      <c r="L22" s="23" t="n">
        <f aca="false">L17-L20</f>
        <v>0</v>
      </c>
      <c r="M22" s="23" t="n">
        <f aca="false">M17-M20</f>
        <v>0</v>
      </c>
    </row>
    <row r="24" customFormat="false" ht="15" hidden="false" customHeight="false" outlineLevel="0" collapsed="false">
      <c r="A24" s="8" t="s">
        <v>92</v>
      </c>
      <c r="B24" s="23" t="n">
        <f aca="false">B22*(1-Assumptions!$B$13)</f>
        <v>0</v>
      </c>
      <c r="C24" s="23" t="n">
        <f aca="false">C22*(1-Assumptions!$B$13)</f>
        <v>0</v>
      </c>
      <c r="D24" s="23" t="n">
        <f aca="false">D22*(1-Assumptions!$B$13)</f>
        <v>0</v>
      </c>
      <c r="E24" s="23" t="n">
        <f aca="false">E22*(1-Assumptions!$B$13)</f>
        <v>0</v>
      </c>
      <c r="F24" s="23" t="n">
        <f aca="false">F22*(1-Assumptions!$B$13)</f>
        <v>0</v>
      </c>
      <c r="G24" s="23" t="n">
        <f aca="false">G22*(1-Assumptions!$B$13)</f>
        <v>0</v>
      </c>
      <c r="H24" s="23" t="n">
        <f aca="false">H22*(1-Assumptions!$B$13)</f>
        <v>0</v>
      </c>
      <c r="I24" s="23" t="n">
        <f aca="false">I22*(1-Assumptions!$B$13)</f>
        <v>0</v>
      </c>
      <c r="J24" s="23" t="n">
        <f aca="false">J22*(1-Assumptions!$B$13)</f>
        <v>0</v>
      </c>
      <c r="K24" s="23" t="n">
        <f aca="false">K22*(1-Assumptions!$B$13)</f>
        <v>246.462319459385</v>
      </c>
      <c r="L24" s="23" t="n">
        <f aca="false">L22*(1-Assumptions!$B$13)</f>
        <v>0</v>
      </c>
      <c r="M24" s="23" t="n">
        <f aca="false">M22*(1-Assumptions!$B$13)</f>
        <v>0</v>
      </c>
    </row>
    <row r="25" customFormat="false" ht="15" hidden="false" customHeight="false" outlineLevel="0" collapsed="false">
      <c r="A25" s="8" t="s">
        <v>93</v>
      </c>
      <c r="B25" s="23" t="n">
        <f aca="false">B22*Assumptions!$B$13</f>
        <v>0</v>
      </c>
      <c r="C25" s="23" t="n">
        <f aca="false">C22*Assumptions!$B$13</f>
        <v>0</v>
      </c>
      <c r="D25" s="23" t="n">
        <f aca="false">D22*Assumptions!$B$13</f>
        <v>0</v>
      </c>
      <c r="E25" s="23" t="n">
        <f aca="false">E22*Assumptions!$B$13</f>
        <v>0</v>
      </c>
      <c r="F25" s="23" t="n">
        <f aca="false">F22*Assumptions!$B$13</f>
        <v>0</v>
      </c>
      <c r="G25" s="23" t="n">
        <f aca="false">G22*Assumptions!$B$13</f>
        <v>0</v>
      </c>
      <c r="H25" s="23" t="n">
        <f aca="false">H22*Assumptions!$B$13</f>
        <v>0</v>
      </c>
      <c r="I25" s="23" t="n">
        <f aca="false">I22*Assumptions!$B$13</f>
        <v>0</v>
      </c>
      <c r="J25" s="23" t="n">
        <f aca="false">J22*Assumptions!$B$13</f>
        <v>0</v>
      </c>
      <c r="K25" s="23" t="n">
        <f aca="false">K22*Assumptions!$B$13</f>
        <v>61.6155798648463</v>
      </c>
      <c r="L25" s="23" t="n">
        <f aca="false">L22*Assumptions!$B$13</f>
        <v>0</v>
      </c>
      <c r="M25" s="23" t="n">
        <f aca="false">M22*Assumptions!$B$13</f>
        <v>0</v>
      </c>
    </row>
    <row r="27" customFormat="false" ht="15" hidden="false" customHeight="false" outlineLevel="0" collapsed="false">
      <c r="A27" s="8" t="s">
        <v>94</v>
      </c>
      <c r="B27" s="19" t="n">
        <f aca="false">B7+B14+B24</f>
        <v>0</v>
      </c>
      <c r="C27" s="19" t="n">
        <f aca="false">C7+C14+C24</f>
        <v>0</v>
      </c>
      <c r="D27" s="19" t="n">
        <f aca="false">D7+D14+D24</f>
        <v>0</v>
      </c>
      <c r="E27" s="19" t="n">
        <f aca="false">E7+E14+E24</f>
        <v>42</v>
      </c>
      <c r="F27" s="19" t="n">
        <f aca="false">F7+F14+F24</f>
        <v>200</v>
      </c>
      <c r="G27" s="19" t="n">
        <f aca="false">G7+G14+G24</f>
        <v>192</v>
      </c>
      <c r="H27" s="19" t="n">
        <f aca="false">H7+H14+H24</f>
        <v>180</v>
      </c>
      <c r="I27" s="19" t="n">
        <f aca="false">I7+I14+I24</f>
        <v>400</v>
      </c>
      <c r="J27" s="19" t="n">
        <f aca="false">J7+J14+J24</f>
        <v>97.7676805406147</v>
      </c>
      <c r="K27" s="19" t="n">
        <f aca="false">K7+K14+K24</f>
        <v>247.962319459385</v>
      </c>
      <c r="L27" s="19" t="n">
        <f aca="false">L7+L14+L24</f>
        <v>0</v>
      </c>
      <c r="M27" s="19" t="n">
        <f aca="false">M7+M14+M24</f>
        <v>0</v>
      </c>
    </row>
    <row r="28" customFormat="false" ht="15" hidden="false" customHeight="false" outlineLevel="0" collapsed="false">
      <c r="A28" s="8" t="s">
        <v>95</v>
      </c>
      <c r="B28" s="19" t="n">
        <f aca="false">B20+B25</f>
        <v>0</v>
      </c>
      <c r="C28" s="19" t="n">
        <f aca="false">C20+C25</f>
        <v>0</v>
      </c>
      <c r="D28" s="19" t="n">
        <f aca="false">D20+D25</f>
        <v>0</v>
      </c>
      <c r="E28" s="19" t="n">
        <f aca="false">E20+E25</f>
        <v>0</v>
      </c>
      <c r="F28" s="19" t="n">
        <f aca="false">F20+F25</f>
        <v>0</v>
      </c>
      <c r="G28" s="19" t="n">
        <f aca="false">G20+G25</f>
        <v>0</v>
      </c>
      <c r="H28" s="19" t="n">
        <f aca="false">H20+H25</f>
        <v>0</v>
      </c>
      <c r="I28" s="19" t="n">
        <f aca="false">I20+I25</f>
        <v>0</v>
      </c>
      <c r="J28" s="19" t="n">
        <f aca="false">J20+J25</f>
        <v>46.2323194593853</v>
      </c>
      <c r="K28" s="19" t="n">
        <f aca="false">K20+K25</f>
        <v>88.0376805406147</v>
      </c>
      <c r="L28" s="19" t="n">
        <f aca="false">L20+L25</f>
        <v>0</v>
      </c>
      <c r="M28" s="19" t="n">
        <f aca="false">M20+M25</f>
        <v>0</v>
      </c>
    </row>
    <row r="29" customFormat="false" ht="15" hidden="false" customHeight="false" outlineLevel="0" collapsed="false">
      <c r="A29" s="12" t="s">
        <v>96</v>
      </c>
      <c r="B29" s="23" t="n">
        <f aca="false">B27+B28-B5</f>
        <v>0</v>
      </c>
      <c r="C29" s="23" t="n">
        <f aca="false">C27+C28-C5</f>
        <v>0</v>
      </c>
      <c r="D29" s="23" t="n">
        <f aca="false">D27+D28-D5</f>
        <v>0</v>
      </c>
      <c r="E29" s="23" t="n">
        <f aca="false">E27+E28-E5</f>
        <v>0</v>
      </c>
      <c r="F29" s="23" t="n">
        <f aca="false">F27+F28-F5</f>
        <v>0</v>
      </c>
      <c r="G29" s="23" t="n">
        <f aca="false">G27+G28-G5</f>
        <v>0</v>
      </c>
      <c r="H29" s="23" t="n">
        <f aca="false">H27+H28-H5</f>
        <v>0</v>
      </c>
      <c r="I29" s="23" t="n">
        <f aca="false">I27+I28-I5</f>
        <v>0</v>
      </c>
      <c r="J29" s="23" t="n">
        <f aca="false">J27+J28-J5</f>
        <v>0</v>
      </c>
      <c r="K29" s="23" t="n">
        <f aca="false">K27+K28-K5</f>
        <v>0</v>
      </c>
      <c r="L29" s="23" t="n">
        <f aca="false">L27+L28-L5</f>
        <v>0</v>
      </c>
      <c r="M29" s="23" t="n">
        <f aca="false">M27+M28-M5</f>
        <v>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14" min="2" style="0" width="11"/>
  </cols>
  <sheetData>
    <row r="1" customFormat="false" ht="16.15" hidden="false" customHeight="false" outlineLevel="0" collapsed="false">
      <c r="A1" s="1" t="s">
        <v>97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Format="false" ht="15" hidden="false" customHeight="false" outlineLevel="0" collapsed="false">
      <c r="A2" s="3" t="s">
        <v>98</v>
      </c>
    </row>
    <row r="3" customFormat="false" ht="23.85" hidden="false" customHeight="false" outlineLevel="0" collapsed="false">
      <c r="A3" s="13" t="s">
        <v>32</v>
      </c>
      <c r="B3" s="13" t="s">
        <v>99</v>
      </c>
      <c r="C3" s="13" t="s">
        <v>100</v>
      </c>
      <c r="D3" s="13" t="s">
        <v>101</v>
      </c>
      <c r="E3" s="13" t="s">
        <v>102</v>
      </c>
      <c r="F3" s="13" t="s">
        <v>103</v>
      </c>
      <c r="G3" s="13" t="s">
        <v>104</v>
      </c>
      <c r="H3" s="13" t="s">
        <v>105</v>
      </c>
      <c r="I3" s="13" t="s">
        <v>106</v>
      </c>
      <c r="J3" s="13" t="s">
        <v>107</v>
      </c>
      <c r="K3" s="13" t="s">
        <v>108</v>
      </c>
      <c r="L3" s="13" t="s">
        <v>109</v>
      </c>
      <c r="M3" s="13" t="s">
        <v>110</v>
      </c>
      <c r="N3" s="13" t="s">
        <v>111</v>
      </c>
    </row>
    <row r="4" customFormat="false" ht="15" hidden="false" customHeight="false" outlineLevel="0" collapsed="false">
      <c r="A4" s="26" t="str">
        <f aca="false">Portfolio!A4</f>
        <v>Deal A</v>
      </c>
      <c r="B4" s="9" t="n">
        <f aca="false">Portfolio!D4</f>
        <v>80</v>
      </c>
      <c r="C4" s="27" t="n">
        <f aca="false">Portfolio!C4</f>
        <v>2026</v>
      </c>
      <c r="D4" s="27" t="n">
        <f aca="false">Portfolio!F4</f>
        <v>2030</v>
      </c>
      <c r="E4" s="9" t="n">
        <f aca="false">Portfolio!H4</f>
        <v>200</v>
      </c>
      <c r="F4" s="28" t="n">
        <f aca="false">IF(D4&gt;=9999,0,D4-C4)</f>
        <v>4</v>
      </c>
      <c r="G4" s="18" t="n">
        <f aca="false">IF(D4&gt;=9999,0,B4*((1+Assumptions!$B$11)^F4-1))</f>
        <v>28.8391168</v>
      </c>
      <c r="H4" s="18" t="n">
        <f aca="false">MIN(E4,IF(D4&gt;=9999,0,B4))</f>
        <v>80</v>
      </c>
      <c r="I4" s="18" t="n">
        <f aca="false">MIN(E4-H4,G4)</f>
        <v>28.8391168</v>
      </c>
      <c r="J4" s="18" t="n">
        <f aca="false">MIN(E4-H4-I4,Assumptions!$B$13/(1-Assumptions!$B$13)*I4*Assumptions!$B$12)</f>
        <v>7.20977920000001</v>
      </c>
      <c r="K4" s="18" t="n">
        <f aca="false">E4-H4-I4-J4</f>
        <v>83.951104</v>
      </c>
      <c r="L4" s="18" t="n">
        <f aca="false">K4*(1-Assumptions!$B$13)</f>
        <v>67.1608832</v>
      </c>
      <c r="M4" s="18" t="n">
        <f aca="false">J4+K4*Assumptions!$B$13</f>
        <v>24</v>
      </c>
      <c r="N4" s="18" t="n">
        <f aca="false">H4+I4+L4</f>
        <v>176</v>
      </c>
    </row>
    <row r="5" customFormat="false" ht="15" hidden="false" customHeight="false" outlineLevel="0" collapsed="false">
      <c r="A5" s="26" t="str">
        <f aca="false">Portfolio!A5</f>
        <v>Deal B</v>
      </c>
      <c r="B5" s="9" t="n">
        <f aca="false">Portfolio!D5</f>
        <v>60</v>
      </c>
      <c r="C5" s="27" t="n">
        <f aca="false">Portfolio!C5</f>
        <v>2026</v>
      </c>
      <c r="D5" s="27" t="n">
        <f aca="false">Portfolio!F5</f>
        <v>2031</v>
      </c>
      <c r="E5" s="9" t="n">
        <f aca="false">Portfolio!H5</f>
        <v>192</v>
      </c>
      <c r="F5" s="28" t="n">
        <f aca="false">IF(D5&gt;=9999,0,D5-C5)</f>
        <v>5</v>
      </c>
      <c r="G5" s="18" t="n">
        <f aca="false">IF(D5&gt;=9999,0,B5*((1+Assumptions!$B$11)^F5-1))</f>
        <v>28.159684608</v>
      </c>
      <c r="H5" s="18" t="n">
        <f aca="false">MIN(E5,IF(D5&gt;=9999,0,B5))</f>
        <v>60</v>
      </c>
      <c r="I5" s="18" t="n">
        <f aca="false">MIN(E5-H5,G5)</f>
        <v>28.159684608</v>
      </c>
      <c r="J5" s="18" t="n">
        <f aca="false">MIN(E5-H5-I5,Assumptions!$B$13/(1-Assumptions!$B$13)*I5*Assumptions!$B$12)</f>
        <v>7.03992115200001</v>
      </c>
      <c r="K5" s="18" t="n">
        <f aca="false">E5-H5-I5-J5</f>
        <v>96.80039424</v>
      </c>
      <c r="L5" s="18" t="n">
        <f aca="false">K5*(1-Assumptions!$B$13)</f>
        <v>77.440315392</v>
      </c>
      <c r="M5" s="18" t="n">
        <f aca="false">J5+K5*Assumptions!$B$13</f>
        <v>26.4</v>
      </c>
      <c r="N5" s="18" t="n">
        <f aca="false">H5+I5+L5</f>
        <v>165.6</v>
      </c>
    </row>
    <row r="6" customFormat="false" ht="15" hidden="false" customHeight="false" outlineLevel="0" collapsed="false">
      <c r="A6" s="26" t="str">
        <f aca="false">Portfolio!A6</f>
        <v>Deal C</v>
      </c>
      <c r="B6" s="9" t="n">
        <f aca="false">Portfolio!D6</f>
        <v>90</v>
      </c>
      <c r="C6" s="27" t="n">
        <f aca="false">Portfolio!C6</f>
        <v>2027</v>
      </c>
      <c r="D6" s="27" t="n">
        <f aca="false">Portfolio!F6</f>
        <v>2032</v>
      </c>
      <c r="E6" s="9" t="n">
        <f aca="false">Portfolio!H6</f>
        <v>180</v>
      </c>
      <c r="F6" s="28" t="n">
        <f aca="false">IF(D6&gt;=9999,0,D6-C6)</f>
        <v>5</v>
      </c>
      <c r="G6" s="18" t="n">
        <f aca="false">IF(D6&gt;=9999,0,B6*((1+Assumptions!$B$11)^F6-1))</f>
        <v>42.2395269120001</v>
      </c>
      <c r="H6" s="18" t="n">
        <f aca="false">MIN(E6,IF(D6&gt;=9999,0,B6))</f>
        <v>90</v>
      </c>
      <c r="I6" s="18" t="n">
        <f aca="false">MIN(E6-H6,G6)</f>
        <v>42.2395269120001</v>
      </c>
      <c r="J6" s="18" t="n">
        <f aca="false">MIN(E6-H6-I6,Assumptions!$B$13/(1-Assumptions!$B$13)*I6*Assumptions!$B$12)</f>
        <v>10.559881728</v>
      </c>
      <c r="K6" s="18" t="n">
        <f aca="false">E6-H6-I6-J6</f>
        <v>37.2005913599999</v>
      </c>
      <c r="L6" s="18" t="n">
        <f aca="false">K6*(1-Assumptions!$B$13)</f>
        <v>29.7604730879999</v>
      </c>
      <c r="M6" s="18" t="n">
        <f aca="false">J6+K6*Assumptions!$B$13</f>
        <v>18</v>
      </c>
      <c r="N6" s="18" t="n">
        <f aca="false">H6+I6+L6</f>
        <v>162</v>
      </c>
    </row>
    <row r="7" customFormat="false" ht="15" hidden="false" customHeight="false" outlineLevel="0" collapsed="false">
      <c r="A7" s="26" t="str">
        <f aca="false">Portfolio!A7</f>
        <v>Deal D</v>
      </c>
      <c r="B7" s="9" t="n">
        <f aca="false">Portfolio!D7</f>
        <v>70</v>
      </c>
      <c r="C7" s="27" t="n">
        <f aca="false">Portfolio!C7</f>
        <v>2027</v>
      </c>
      <c r="D7" s="27" t="n">
        <f aca="false">Portfolio!F7</f>
        <v>2029</v>
      </c>
      <c r="E7" s="9" t="n">
        <f aca="false">Portfolio!H7</f>
        <v>42</v>
      </c>
      <c r="F7" s="28" t="n">
        <f aca="false">IF(D7&gt;=9999,0,D7-C7)</f>
        <v>2</v>
      </c>
      <c r="G7" s="18" t="n">
        <f aca="false">IF(D7&gt;=9999,0,B7*((1+Assumptions!$B$11)^F7-1))</f>
        <v>11.648</v>
      </c>
      <c r="H7" s="18" t="n">
        <f aca="false">MIN(E7,IF(D7&gt;=9999,0,B7))</f>
        <v>42</v>
      </c>
      <c r="I7" s="18" t="n">
        <f aca="false">MIN(E7-H7,G7)</f>
        <v>0</v>
      </c>
      <c r="J7" s="18" t="n">
        <f aca="false">MIN(E7-H7-I7,Assumptions!$B$13/(1-Assumptions!$B$13)*I7*Assumptions!$B$12)</f>
        <v>0</v>
      </c>
      <c r="K7" s="18" t="n">
        <f aca="false">E7-H7-I7-J7</f>
        <v>0</v>
      </c>
      <c r="L7" s="18" t="n">
        <f aca="false">K7*(1-Assumptions!$B$13)</f>
        <v>0</v>
      </c>
      <c r="M7" s="18" t="n">
        <f aca="false">J7+K7*Assumptions!$B$13</f>
        <v>0</v>
      </c>
      <c r="N7" s="18" t="n">
        <f aca="false">H7+I7+L7</f>
        <v>42</v>
      </c>
    </row>
    <row r="8" customFormat="false" ht="15" hidden="false" customHeight="false" outlineLevel="0" collapsed="false">
      <c r="A8" s="26" t="str">
        <f aca="false">Portfolio!A8</f>
        <v>Deal E</v>
      </c>
      <c r="B8" s="9" t="n">
        <f aca="false">Portfolio!D8</f>
        <v>100</v>
      </c>
      <c r="C8" s="27" t="n">
        <f aca="false">Portfolio!C8</f>
        <v>2028</v>
      </c>
      <c r="D8" s="27" t="n">
        <f aca="false">Portfolio!F8</f>
        <v>2033</v>
      </c>
      <c r="E8" s="9" t="n">
        <f aca="false">Portfolio!H8</f>
        <v>400</v>
      </c>
      <c r="F8" s="28" t="n">
        <f aca="false">IF(D8&gt;=9999,0,D8-C8)</f>
        <v>5</v>
      </c>
      <c r="G8" s="18" t="n">
        <f aca="false">IF(D8&gt;=9999,0,B8*((1+Assumptions!$B$11)^F8-1))</f>
        <v>46.9328076800001</v>
      </c>
      <c r="H8" s="18" t="n">
        <f aca="false">MIN(E8,IF(D8&gt;=9999,0,B8))</f>
        <v>100</v>
      </c>
      <c r="I8" s="18" t="n">
        <f aca="false">MIN(E8-H8,G8)</f>
        <v>46.9328076800001</v>
      </c>
      <c r="J8" s="18" t="n">
        <f aca="false">MIN(E8-H8-I8,Assumptions!$B$13/(1-Assumptions!$B$13)*I8*Assumptions!$B$12)</f>
        <v>11.73320192</v>
      </c>
      <c r="K8" s="18" t="n">
        <f aca="false">E8-H8-I8-J8</f>
        <v>241.3339904</v>
      </c>
      <c r="L8" s="18" t="n">
        <f aca="false">K8*(1-Assumptions!$B$13)</f>
        <v>193.06719232</v>
      </c>
      <c r="M8" s="18" t="n">
        <f aca="false">J8+K8*Assumptions!$B$13</f>
        <v>60</v>
      </c>
      <c r="N8" s="18" t="n">
        <f aca="false">H8+I8+L8</f>
        <v>340</v>
      </c>
    </row>
    <row r="9" customFormat="false" ht="15" hidden="false" customHeight="false" outlineLevel="0" collapsed="false">
      <c r="A9" s="26" t="str">
        <f aca="false">Portfolio!A9</f>
        <v>Deal F</v>
      </c>
      <c r="B9" s="9" t="n">
        <f aca="false">Portfolio!D9</f>
        <v>80</v>
      </c>
      <c r="C9" s="27" t="n">
        <f aca="false">Portfolio!C9</f>
        <v>2028</v>
      </c>
      <c r="D9" s="27" t="n">
        <f aca="false">Portfolio!F9</f>
        <v>2034</v>
      </c>
      <c r="E9" s="9" t="n">
        <f aca="false">Portfolio!H9</f>
        <v>144</v>
      </c>
      <c r="F9" s="28" t="n">
        <f aca="false">IF(D9&gt;=9999,0,D9-C9)</f>
        <v>6</v>
      </c>
      <c r="G9" s="18" t="n">
        <f aca="false">IF(D9&gt;=9999,0,B9*((1+Assumptions!$B$11)^F9-1))</f>
        <v>46.94994583552</v>
      </c>
      <c r="H9" s="18" t="n">
        <f aca="false">MIN(E9,IF(D9&gt;=9999,0,B9))</f>
        <v>80</v>
      </c>
      <c r="I9" s="18" t="n">
        <f aca="false">MIN(E9-H9,G9)</f>
        <v>46.94994583552</v>
      </c>
      <c r="J9" s="18" t="n">
        <f aca="false">MIN(E9-H9-I9,Assumptions!$B$13/(1-Assumptions!$B$13)*I9*Assumptions!$B$12)</f>
        <v>11.73748645888</v>
      </c>
      <c r="K9" s="18" t="n">
        <f aca="false">E9-H9-I9-J9</f>
        <v>5.31256770559995</v>
      </c>
      <c r="L9" s="18" t="n">
        <f aca="false">K9*(1-Assumptions!$B$13)</f>
        <v>4.25005416447996</v>
      </c>
      <c r="M9" s="18" t="n">
        <f aca="false">J9+K9*Assumptions!$B$13</f>
        <v>12.8</v>
      </c>
      <c r="N9" s="18" t="n">
        <f aca="false">H9+I9+L9</f>
        <v>131.2</v>
      </c>
    </row>
    <row r="10" customFormat="false" ht="15" hidden="false" customHeight="false" outlineLevel="0" collapsed="false">
      <c r="A10" s="26" t="str">
        <f aca="false">Portfolio!A10</f>
        <v>Deal G</v>
      </c>
      <c r="B10" s="9" t="n">
        <f aca="false">Portfolio!D10</f>
        <v>120</v>
      </c>
      <c r="C10" s="27" t="n">
        <f aca="false">Portfolio!C10</f>
        <v>2029</v>
      </c>
      <c r="D10" s="27" t="n">
        <f aca="false">Portfolio!F10</f>
        <v>2035</v>
      </c>
      <c r="E10" s="9" t="n">
        <f aca="false">Portfolio!H10</f>
        <v>336</v>
      </c>
      <c r="F10" s="28" t="n">
        <f aca="false">IF(D10&gt;=9999,0,D10-C10)</f>
        <v>6</v>
      </c>
      <c r="G10" s="18" t="n">
        <f aca="false">IF(D10&gt;=9999,0,B10*((1+Assumptions!$B$11)^F10-1))</f>
        <v>70.4249187532801</v>
      </c>
      <c r="H10" s="18" t="n">
        <f aca="false">MIN(E10,IF(D10&gt;=9999,0,B10))</f>
        <v>120</v>
      </c>
      <c r="I10" s="18" t="n">
        <f aca="false">MIN(E10-H10,G10)</f>
        <v>70.4249187532801</v>
      </c>
      <c r="J10" s="18" t="n">
        <f aca="false">MIN(E10-H10-I10,Assumptions!$B$13/(1-Assumptions!$B$13)*I10*Assumptions!$B$12)</f>
        <v>17.60622968832</v>
      </c>
      <c r="K10" s="18" t="n">
        <f aca="false">E10-H10-I10-J10</f>
        <v>127.9688515584</v>
      </c>
      <c r="L10" s="18" t="n">
        <f aca="false">K10*(1-Assumptions!$B$13)</f>
        <v>102.37508124672</v>
      </c>
      <c r="M10" s="18" t="n">
        <f aca="false">J10+K10*Assumptions!$B$13</f>
        <v>43.2</v>
      </c>
      <c r="N10" s="18" t="n">
        <f aca="false">H10+I10+L10</f>
        <v>292.8</v>
      </c>
    </row>
    <row r="11" customFormat="false" ht="15" hidden="false" customHeight="false" outlineLevel="0" collapsed="false">
      <c r="A11" s="26" t="str">
        <f aca="false">Portfolio!A11</f>
        <v>Deal H</v>
      </c>
      <c r="B11" s="9" t="n">
        <f aca="false">Portfolio!D11</f>
        <v>100</v>
      </c>
      <c r="C11" s="27" t="n">
        <f aca="false">Portfolio!C11</f>
        <v>2030</v>
      </c>
      <c r="D11" s="27" t="n">
        <f aca="false">Portfolio!F11</f>
        <v>9999</v>
      </c>
      <c r="E11" s="9" t="n">
        <f aca="false">Portfolio!H11</f>
        <v>0</v>
      </c>
      <c r="F11" s="28" t="n">
        <f aca="false">IF(D11&gt;=9999,0,D11-C11)</f>
        <v>0</v>
      </c>
      <c r="G11" s="18" t="n">
        <f aca="false">IF(D11&gt;=9999,0,B11*((1+Assumptions!$B$11)^F11-1))</f>
        <v>0</v>
      </c>
      <c r="H11" s="18" t="n">
        <f aca="false">MIN(E11,IF(D11&gt;=9999,0,B11))</f>
        <v>0</v>
      </c>
      <c r="I11" s="18" t="n">
        <f aca="false">MIN(E11-H11,G11)</f>
        <v>0</v>
      </c>
      <c r="J11" s="18" t="n">
        <f aca="false">MIN(E11-H11-I11,Assumptions!$B$13/(1-Assumptions!$B$13)*I11*Assumptions!$B$12)</f>
        <v>0</v>
      </c>
      <c r="K11" s="18" t="n">
        <f aca="false">E11-H11-I11-J11</f>
        <v>0</v>
      </c>
      <c r="L11" s="18" t="n">
        <f aca="false">K11*(1-Assumptions!$B$13)</f>
        <v>0</v>
      </c>
      <c r="M11" s="18" t="n">
        <f aca="false">J11+K11*Assumptions!$B$13</f>
        <v>0</v>
      </c>
      <c r="N11" s="18" t="n">
        <f aca="false">H11+I11+L11</f>
        <v>0</v>
      </c>
    </row>
    <row r="12" customFormat="false" ht="15" hidden="false" customHeight="false" outlineLevel="0" collapsed="false">
      <c r="A12" s="8" t="s">
        <v>56</v>
      </c>
      <c r="B12" s="19" t="n">
        <f aca="false">SUM(B4:B11)</f>
        <v>700</v>
      </c>
      <c r="E12" s="19" t="n">
        <f aca="false">SUM(E4:E11)</f>
        <v>1494</v>
      </c>
      <c r="G12" s="19" t="n">
        <f aca="false">SUM(G4:G11)</f>
        <v>275.1940005888</v>
      </c>
      <c r="H12" s="19" t="n">
        <f aca="false">SUM(H4:H11)</f>
        <v>572</v>
      </c>
      <c r="I12" s="19" t="n">
        <f aca="false">SUM(I4:I11)</f>
        <v>263.5460005888</v>
      </c>
      <c r="J12" s="19" t="n">
        <f aca="false">SUM(J4:J11)</f>
        <v>65.8865001472001</v>
      </c>
      <c r="K12" s="19" t="n">
        <f aca="false">SUM(K4:K11)</f>
        <v>592.567499264</v>
      </c>
      <c r="L12" s="19" t="n">
        <f aca="false">SUM(L4:L11)</f>
        <v>474.0539994112</v>
      </c>
      <c r="M12" s="19" t="n">
        <f aca="false">SUM(M4:M11)</f>
        <v>184.4</v>
      </c>
      <c r="N12" s="19" t="n">
        <f aca="false">SUM(N4:N11)</f>
        <v>1309.6</v>
      </c>
    </row>
    <row r="14" customFormat="false" ht="15" hidden="false" customHeight="false" outlineLevel="0" collapsed="false">
      <c r="A14" s="8" t="s">
        <v>112</v>
      </c>
    </row>
    <row r="15" customFormat="false" ht="15" hidden="false" customHeight="false" outlineLevel="0" collapsed="false">
      <c r="A15" s="0" t="s">
        <v>113</v>
      </c>
      <c r="B15" s="23" t="n">
        <f aca="false">M12</f>
        <v>184.4</v>
      </c>
    </row>
    <row r="16" customFormat="false" ht="15" hidden="false" customHeight="false" outlineLevel="0" collapsed="false">
      <c r="A16" s="0" t="s">
        <v>114</v>
      </c>
      <c r="B16" s="22" t="n">
        <f aca="false">SUM('Waterfall (European)'!$B$28:$M$28)</f>
        <v>134.27</v>
      </c>
    </row>
    <row r="17" customFormat="false" ht="15" hidden="false" customHeight="false" outlineLevel="0" collapsed="false">
      <c r="A17" s="8" t="s">
        <v>115</v>
      </c>
      <c r="B17" s="29" t="n">
        <f aca="false">MAX(0,B15-B16)</f>
        <v>50.13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4"/>
    <col collapsed="false" customWidth="true" hidden="false" outlineLevel="0" max="13" min="2" style="0" width="11"/>
  </cols>
  <sheetData>
    <row r="1" customFormat="false" ht="16.15" hidden="false" customHeight="false" outlineLevel="0" collapsed="false">
      <c r="A1" s="1" t="s">
        <v>116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Format="false" ht="15" hidden="false" customHeight="false" outlineLevel="0" collapsed="false">
      <c r="A2" s="3" t="s">
        <v>117</v>
      </c>
    </row>
    <row r="3" customFormat="false" ht="15" hidden="false" customHeight="false" outlineLevel="0" collapsed="false">
      <c r="A3" s="20" t="s">
        <v>59</v>
      </c>
      <c r="B3" s="21" t="n">
        <v>2026</v>
      </c>
      <c r="C3" s="21" t="n">
        <v>2027</v>
      </c>
      <c r="D3" s="21" t="n">
        <v>2028</v>
      </c>
      <c r="E3" s="21" t="n">
        <v>2029</v>
      </c>
      <c r="F3" s="21" t="n">
        <v>2030</v>
      </c>
      <c r="G3" s="21" t="n">
        <v>2031</v>
      </c>
      <c r="H3" s="21" t="n">
        <v>2032</v>
      </c>
      <c r="I3" s="21" t="n">
        <v>2033</v>
      </c>
      <c r="J3" s="21" t="n">
        <v>2034</v>
      </c>
      <c r="K3" s="21" t="n">
        <v>2035</v>
      </c>
      <c r="L3" s="21" t="n">
        <v>2036</v>
      </c>
      <c r="M3" s="21" t="n">
        <v>2037</v>
      </c>
    </row>
    <row r="5" customFormat="false" ht="15" hidden="false" customHeight="false" outlineLevel="0" collapsed="false">
      <c r="A5" s="12" t="s">
        <v>118</v>
      </c>
      <c r="B5" s="22" t="n">
        <f aca="false">'Capital Calls'!B8</f>
        <v>160</v>
      </c>
      <c r="C5" s="22" t="n">
        <f aca="false">'Capital Calls'!C8</f>
        <v>340</v>
      </c>
      <c r="D5" s="22" t="n">
        <f aca="false">'Capital Calls'!D8</f>
        <v>540</v>
      </c>
      <c r="E5" s="22" t="n">
        <f aca="false">'Capital Calls'!E8</f>
        <v>680</v>
      </c>
      <c r="F5" s="22" t="n">
        <f aca="false">'Capital Calls'!F8</f>
        <v>800</v>
      </c>
      <c r="G5" s="22" t="n">
        <f aca="false">'Capital Calls'!G8</f>
        <v>807.35</v>
      </c>
      <c r="H5" s="22" t="n">
        <f aca="false">'Capital Calls'!H8</f>
        <v>813.35</v>
      </c>
      <c r="I5" s="22" t="n">
        <f aca="false">'Capital Calls'!I8</f>
        <v>817.85</v>
      </c>
      <c r="J5" s="22" t="n">
        <f aca="false">'Capital Calls'!J8</f>
        <v>821.15</v>
      </c>
      <c r="K5" s="22" t="n">
        <f aca="false">'Capital Calls'!K8</f>
        <v>822.65</v>
      </c>
      <c r="L5" s="22" t="n">
        <f aca="false">'Capital Calls'!L8</f>
        <v>824.15</v>
      </c>
      <c r="M5" s="22" t="n">
        <f aca="false">'Capital Calls'!M8</f>
        <v>825.65</v>
      </c>
    </row>
    <row r="6" customFormat="false" ht="15" hidden="false" customHeight="false" outlineLevel="0" collapsed="false">
      <c r="A6" s="12" t="s">
        <v>119</v>
      </c>
      <c r="B6" s="22" t="n">
        <f aca="false">'Waterfall (European)'!B27</f>
        <v>0</v>
      </c>
      <c r="C6" s="22" t="n">
        <f aca="false">'Waterfall (European)'!C27</f>
        <v>0</v>
      </c>
      <c r="D6" s="22" t="n">
        <f aca="false">'Waterfall (European)'!D27</f>
        <v>0</v>
      </c>
      <c r="E6" s="22" t="n">
        <f aca="false">'Waterfall (European)'!E27</f>
        <v>42</v>
      </c>
      <c r="F6" s="22" t="n">
        <f aca="false">'Waterfall (European)'!F27</f>
        <v>200</v>
      </c>
      <c r="G6" s="22" t="n">
        <f aca="false">'Waterfall (European)'!G27</f>
        <v>192</v>
      </c>
      <c r="H6" s="22" t="n">
        <f aca="false">'Waterfall (European)'!H27</f>
        <v>180</v>
      </c>
      <c r="I6" s="22" t="n">
        <f aca="false">'Waterfall (European)'!I27</f>
        <v>400</v>
      </c>
      <c r="J6" s="22" t="n">
        <f aca="false">'Waterfall (European)'!J27</f>
        <v>97.7676805406147</v>
      </c>
      <c r="K6" s="22" t="n">
        <f aca="false">'Waterfall (European)'!K27</f>
        <v>247.962319459385</v>
      </c>
      <c r="L6" s="22" t="n">
        <f aca="false">'Waterfall (European)'!L27</f>
        <v>0</v>
      </c>
      <c r="M6" s="22" t="n">
        <f aca="false">'Waterfall (European)'!M27</f>
        <v>0</v>
      </c>
    </row>
    <row r="7" customFormat="false" ht="15" hidden="false" customHeight="false" outlineLevel="0" collapsed="false">
      <c r="A7" s="12" t="s">
        <v>120</v>
      </c>
      <c r="B7" s="23" t="n">
        <f aca="false">B6</f>
        <v>0</v>
      </c>
      <c r="C7" s="23" t="n">
        <f aca="false">B7+C6</f>
        <v>0</v>
      </c>
      <c r="D7" s="23" t="n">
        <f aca="false">C7+D6</f>
        <v>0</v>
      </c>
      <c r="E7" s="23" t="n">
        <f aca="false">D7+E6</f>
        <v>42</v>
      </c>
      <c r="F7" s="23" t="n">
        <f aca="false">E7+F6</f>
        <v>242</v>
      </c>
      <c r="G7" s="23" t="n">
        <f aca="false">F7+G6</f>
        <v>434</v>
      </c>
      <c r="H7" s="23" t="n">
        <f aca="false">G7+H6</f>
        <v>614</v>
      </c>
      <c r="I7" s="23" t="n">
        <f aca="false">H7+I6</f>
        <v>1014</v>
      </c>
      <c r="J7" s="23" t="n">
        <f aca="false">I7+J6</f>
        <v>1111.76768054061</v>
      </c>
      <c r="K7" s="23" t="n">
        <f aca="false">J7+K6</f>
        <v>1359.73</v>
      </c>
      <c r="L7" s="23" t="n">
        <f aca="false">K7+L6</f>
        <v>1359.73</v>
      </c>
      <c r="M7" s="23" t="n">
        <f aca="false">L7+M6</f>
        <v>1359.73</v>
      </c>
    </row>
    <row r="8" customFormat="false" ht="15" hidden="false" customHeight="false" outlineLevel="0" collapsed="false">
      <c r="A8" s="12" t="s">
        <v>121</v>
      </c>
      <c r="B8" s="22" t="n">
        <f aca="false">SUMPRODUCT((Portfolio!$C$4:$C$11&lt;=B$3)*(Portfolio!$F$4:$F$11&gt;B$3)*Portfolio!$D$4:$D$11*Portfolio!$E$4:$E$11)</f>
        <v>140</v>
      </c>
      <c r="C8" s="22" t="n">
        <f aca="false">SUMPRODUCT((Portfolio!$C$4:$C$11&lt;=C$3)*(Portfolio!$F$4:$F$11&gt;C$3)*Portfolio!$D$4:$D$11*Portfolio!$E$4:$E$11)</f>
        <v>372</v>
      </c>
      <c r="D8" s="22" t="n">
        <f aca="false">SUMPRODUCT((Portfolio!$C$4:$C$11&lt;=D$3)*(Portfolio!$F$4:$F$11&gt;D$3)*Portfolio!$D$4:$D$11*Portfolio!$E$4:$E$11)</f>
        <v>712</v>
      </c>
      <c r="E8" s="22" t="n">
        <f aca="false">SUMPRODUCT((Portfolio!$C$4:$C$11&lt;=E$3)*(Portfolio!$F$4:$F$11&gt;E$3)*Portfolio!$D$4:$D$11*Portfolio!$E$4:$E$11)</f>
        <v>882</v>
      </c>
      <c r="F8" s="22" t="n">
        <f aca="false">SUMPRODUCT((Portfolio!$C$4:$C$11&lt;=F$3)*(Portfolio!$F$4:$F$11&gt;F$3)*Portfolio!$D$4:$D$11*Portfolio!$E$4:$E$11)</f>
        <v>962</v>
      </c>
      <c r="G8" s="22" t="n">
        <f aca="false">SUMPRODUCT((Portfolio!$C$4:$C$11&lt;=G$3)*(Portfolio!$F$4:$F$11&gt;G$3)*Portfolio!$D$4:$D$11*Portfolio!$E$4:$E$11)</f>
        <v>902</v>
      </c>
      <c r="H8" s="22" t="n">
        <f aca="false">SUMPRODUCT((Portfolio!$C$4:$C$11&lt;=H$3)*(Portfolio!$F$4:$F$11&gt;H$3)*Portfolio!$D$4:$D$11*Portfolio!$E$4:$E$11)</f>
        <v>740</v>
      </c>
      <c r="I8" s="22" t="n">
        <f aca="false">SUMPRODUCT((Portfolio!$C$4:$C$11&lt;=I$3)*(Portfolio!$F$4:$F$11&gt;I$3)*Portfolio!$D$4:$D$11*Portfolio!$E$4:$E$11)</f>
        <v>520</v>
      </c>
      <c r="J8" s="22" t="n">
        <f aca="false">SUMPRODUCT((Portfolio!$C$4:$C$11&lt;=J$3)*(Portfolio!$F$4:$F$11&gt;J$3)*Portfolio!$D$4:$D$11*Portfolio!$E$4:$E$11)</f>
        <v>400</v>
      </c>
      <c r="K8" s="22" t="n">
        <f aca="false">SUMPRODUCT((Portfolio!$C$4:$C$11&lt;=K$3)*(Portfolio!$F$4:$F$11&gt;K$3)*Portfolio!$D$4:$D$11*Portfolio!$E$4:$E$11)</f>
        <v>160</v>
      </c>
      <c r="L8" s="22" t="n">
        <f aca="false">SUMPRODUCT((Portfolio!$C$4:$C$11&lt;=L$3)*(Portfolio!$F$4:$F$11&gt;L$3)*Portfolio!$D$4:$D$11*Portfolio!$E$4:$E$11)</f>
        <v>160</v>
      </c>
      <c r="M8" s="22" t="n">
        <f aca="false">SUMPRODUCT((Portfolio!$C$4:$C$11&lt;=M$3)*(Portfolio!$F$4:$F$11&gt;M$3)*Portfolio!$D$4:$D$11*Portfolio!$E$4:$E$11)</f>
        <v>160</v>
      </c>
    </row>
    <row r="10" customFormat="false" ht="15" hidden="false" customHeight="false" outlineLevel="0" collapsed="false">
      <c r="A10" s="8" t="s">
        <v>122</v>
      </c>
      <c r="B10" s="30" t="n">
        <f aca="false">IF(B5=0,0,B7/B5)</f>
        <v>0</v>
      </c>
      <c r="C10" s="30" t="n">
        <f aca="false">IF(C5=0,0,C7/C5)</f>
        <v>0</v>
      </c>
      <c r="D10" s="30" t="n">
        <f aca="false">IF(D5=0,0,D7/D5)</f>
        <v>0</v>
      </c>
      <c r="E10" s="30" t="n">
        <f aca="false">IF(E5=0,0,E7/E5)</f>
        <v>0.0617647058823529</v>
      </c>
      <c r="F10" s="30" t="n">
        <f aca="false">IF(F5=0,0,F7/F5)</f>
        <v>0.3025</v>
      </c>
      <c r="G10" s="30" t="n">
        <f aca="false">IF(G5=0,0,G7/G5)</f>
        <v>0.537561156871245</v>
      </c>
      <c r="H10" s="30" t="n">
        <f aca="false">IF(H5=0,0,H7/H5)</f>
        <v>0.75490256347206</v>
      </c>
      <c r="I10" s="30" t="n">
        <f aca="false">IF(I5=0,0,I7/I5)</f>
        <v>1.23983615577429</v>
      </c>
      <c r="J10" s="30" t="n">
        <f aca="false">IF(J5=0,0,J7/J5)</f>
        <v>1.35391546068394</v>
      </c>
      <c r="K10" s="30" t="n">
        <f aca="false">IF(K5=0,0,K7/K5)</f>
        <v>1.65286573877104</v>
      </c>
      <c r="L10" s="30" t="n">
        <f aca="false">IF(L5=0,0,L7/L5)</f>
        <v>1.6498574288661</v>
      </c>
      <c r="M10" s="30" t="n">
        <f aca="false">IF(M5=0,0,M7/M5)</f>
        <v>1.64686004965785</v>
      </c>
    </row>
    <row r="11" customFormat="false" ht="15" hidden="false" customHeight="false" outlineLevel="0" collapsed="false">
      <c r="A11" s="8" t="s">
        <v>123</v>
      </c>
      <c r="B11" s="30" t="n">
        <f aca="false">IF(B5=0,0,B8/B5)</f>
        <v>0.875</v>
      </c>
      <c r="C11" s="30" t="n">
        <f aca="false">IF(C5=0,0,C8/C5)</f>
        <v>1.09411764705882</v>
      </c>
      <c r="D11" s="30" t="n">
        <f aca="false">IF(D5=0,0,D8/D5)</f>
        <v>1.31851851851852</v>
      </c>
      <c r="E11" s="30" t="n">
        <f aca="false">IF(E5=0,0,E8/E5)</f>
        <v>1.29705882352941</v>
      </c>
      <c r="F11" s="30" t="n">
        <f aca="false">IF(F5=0,0,F8/F5)</f>
        <v>1.2025</v>
      </c>
      <c r="G11" s="30" t="n">
        <f aca="false">IF(G5=0,0,G8/G5)</f>
        <v>1.11723539976466</v>
      </c>
      <c r="H11" s="30" t="n">
        <f aca="false">IF(H5=0,0,H8/H5)</f>
        <v>0.909817421774144</v>
      </c>
      <c r="I11" s="30" t="n">
        <f aca="false">IF(I5=0,0,I8/I5)</f>
        <v>0.635813413217583</v>
      </c>
      <c r="J11" s="30" t="n">
        <f aca="false">IF(J5=0,0,J8/J5)</f>
        <v>0.48712171953967</v>
      </c>
      <c r="K11" s="30" t="n">
        <f aca="false">IF(K5=0,0,K8/K5)</f>
        <v>0.194493405457971</v>
      </c>
      <c r="L11" s="30" t="n">
        <f aca="false">IF(L5=0,0,L8/L5)</f>
        <v>0.19413941636838</v>
      </c>
      <c r="M11" s="30" t="n">
        <f aca="false">IF(M5=0,0,M8/M5)</f>
        <v>0.193786713498456</v>
      </c>
    </row>
    <row r="12" customFormat="false" ht="15" hidden="false" customHeight="false" outlineLevel="0" collapsed="false">
      <c r="A12" s="8" t="s">
        <v>124</v>
      </c>
      <c r="B12" s="31" t="n">
        <f aca="false">B10+B11</f>
        <v>0.875</v>
      </c>
      <c r="C12" s="31" t="n">
        <f aca="false">C10+C11</f>
        <v>1.09411764705882</v>
      </c>
      <c r="D12" s="31" t="n">
        <f aca="false">D10+D11</f>
        <v>1.31851851851852</v>
      </c>
      <c r="E12" s="31" t="n">
        <f aca="false">E10+E11</f>
        <v>1.35882352941176</v>
      </c>
      <c r="F12" s="31" t="n">
        <f aca="false">F10+F11</f>
        <v>1.505</v>
      </c>
      <c r="G12" s="31" t="n">
        <f aca="false">G10+G11</f>
        <v>1.65479655663591</v>
      </c>
      <c r="H12" s="31" t="n">
        <f aca="false">H10+H11</f>
        <v>1.6647199852462</v>
      </c>
      <c r="I12" s="31" t="n">
        <f aca="false">I10+I11</f>
        <v>1.87564956899187</v>
      </c>
      <c r="J12" s="31" t="n">
        <f aca="false">J10+J11</f>
        <v>1.84103718022361</v>
      </c>
      <c r="K12" s="31" t="n">
        <f aca="false">K10+K11</f>
        <v>1.84735914422902</v>
      </c>
      <c r="L12" s="31" t="n">
        <f aca="false">L10+L11</f>
        <v>1.84399684523448</v>
      </c>
      <c r="M12" s="31" t="n">
        <f aca="false">M10+M11</f>
        <v>1.8406467631563</v>
      </c>
    </row>
    <row r="14" customFormat="false" ht="15" hidden="false" customHeight="false" outlineLevel="0" collapsed="false">
      <c r="A14" s="12" t="s">
        <v>125</v>
      </c>
      <c r="B14" s="23" t="n">
        <f aca="false">-'Capital Calls'!B7+B6</f>
        <v>-160</v>
      </c>
      <c r="C14" s="23" t="n">
        <f aca="false">-'Capital Calls'!C7+C6</f>
        <v>-180</v>
      </c>
      <c r="D14" s="23" t="n">
        <f aca="false">-'Capital Calls'!D7+D6</f>
        <v>-200</v>
      </c>
      <c r="E14" s="23" t="n">
        <f aca="false">-'Capital Calls'!E7+E6</f>
        <v>-98</v>
      </c>
      <c r="F14" s="23" t="n">
        <f aca="false">-'Capital Calls'!F7+F6</f>
        <v>80</v>
      </c>
      <c r="G14" s="23" t="n">
        <f aca="false">-'Capital Calls'!G7+G6</f>
        <v>184.65</v>
      </c>
      <c r="H14" s="23" t="n">
        <f aca="false">-'Capital Calls'!H7+H6</f>
        <v>174</v>
      </c>
      <c r="I14" s="23" t="n">
        <f aca="false">-'Capital Calls'!I7+I6</f>
        <v>395.5</v>
      </c>
      <c r="J14" s="23" t="n">
        <f aca="false">-'Capital Calls'!J7+J6</f>
        <v>94.4676805406147</v>
      </c>
      <c r="K14" s="23" t="n">
        <f aca="false">-'Capital Calls'!K7+K6</f>
        <v>246.462319459385</v>
      </c>
      <c r="L14" s="23" t="n">
        <f aca="false">-'Capital Calls'!L7+L6</f>
        <v>-1.5</v>
      </c>
      <c r="M14" s="23" t="n">
        <f aca="false">-'Capital Calls'!M7+M6+M8</f>
        <v>158.5</v>
      </c>
    </row>
    <row r="16" customFormat="false" ht="15" hidden="false" customHeight="false" outlineLevel="0" collapsed="false">
      <c r="A16" s="8" t="s">
        <v>126</v>
      </c>
      <c r="B16" s="32" t="n">
        <f aca="false">IRR(B14:M14)</f>
        <v>0.135687592255982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2026-07-06T18:14:25Z</dcterms:created>
  <dc:creator>openpyxl</dc:creator>
  <dc:description/>
  <dc:language>en-US</dc:language>
  <cp:lastModifiedBy/>
  <dcterms:modified xsi:type="dcterms:W3CDTF">2026-07-06T18:14:25Z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